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tabRatio="770" activeTab="0"/>
  </bookViews>
  <sheets>
    <sheet name="Kalkulation (52 Karten)" sheetId="1" r:id="rId1"/>
    <sheet name="Kalkulation (32 Karten)" sheetId="2" r:id="rId2"/>
  </sheets>
  <definedNames/>
  <calcPr fullCalcOnLoad="1"/>
</workbook>
</file>

<file path=xl/sharedStrings.xml><?xml version="1.0" encoding="utf-8"?>
<sst xmlns="http://schemas.openxmlformats.org/spreadsheetml/2006/main" count="452" uniqueCount="158">
  <si>
    <t>Berechnungsgrundlage</t>
  </si>
  <si>
    <t>Chancen</t>
  </si>
  <si>
    <t>Anzahl der Möglichkeiten</t>
  </si>
  <si>
    <t>Anzahl aller Möglichkeiten:</t>
  </si>
  <si>
    <t>1:</t>
  </si>
  <si>
    <t>13x(3aus4)x(48x44:2)</t>
  </si>
  <si>
    <t>Zwei Paare</t>
  </si>
  <si>
    <t>Ein Paar</t>
  </si>
  <si>
    <t>13x(3aus4)x12x(2aus4)</t>
  </si>
  <si>
    <t>13x(4aus4)x48</t>
  </si>
  <si>
    <t>13x(2aus4)x(48x44x40:3:2)</t>
  </si>
  <si>
    <t>(13x(2aus4)x12x(2aus4):2)x44</t>
  </si>
  <si>
    <t>9x4</t>
  </si>
  <si>
    <t>13x(4aus4)x12x(2aus4)</t>
  </si>
  <si>
    <t>Zwei Drillinge</t>
  </si>
  <si>
    <t>13x(3aus4)x12x(3aus4):2</t>
  </si>
  <si>
    <t>13x(4aus4)x(48x44:2)</t>
  </si>
  <si>
    <t>Drei Paare</t>
  </si>
  <si>
    <t>13x(2aus4)x12x(2aus4)x11x(2aus4):3:2</t>
  </si>
  <si>
    <t>Ein Drilling</t>
  </si>
  <si>
    <t>13x(3aus4)x(48x44x40:3:2)</t>
  </si>
  <si>
    <t>(13x(2aus4)x12x(2aus4):2)x(44x40:2)</t>
  </si>
  <si>
    <t>13x(2aus4)x(48x44x40x36:4:3:2)</t>
  </si>
  <si>
    <t>10x4</t>
  </si>
  <si>
    <t>13x(4aus4)</t>
  </si>
  <si>
    <t>13x(3aus4)x48</t>
  </si>
  <si>
    <t>13x(2aus4)x(48x44:2)</t>
  </si>
  <si>
    <t>11x4</t>
  </si>
  <si>
    <t>Prozent</t>
  </si>
  <si>
    <t>Wert</t>
  </si>
  <si>
    <t>Kombination</t>
  </si>
  <si>
    <t>13x(3aus4)x12x(2aus4)x44</t>
  </si>
  <si>
    <t>7x4</t>
  </si>
  <si>
    <t>Zwei Vierlinge</t>
  </si>
  <si>
    <t>Vier Paare</t>
  </si>
  <si>
    <t>13x(4aus4)x12x(4aus4):2</t>
  </si>
  <si>
    <t>13x(4aus4)x12x(3aus4)x44</t>
  </si>
  <si>
    <t>13x(4aus4)x12x(2aus4)x(44x40:2)</t>
  </si>
  <si>
    <t>13x(2aus4)x12x(2aus4)x11x(2aus4)x10x(2aus4):4:3:2</t>
  </si>
  <si>
    <t>(13x(3aus4)x12x(3aus4):2)x(44x40:2)</t>
  </si>
  <si>
    <t>13x(4aus4)x(48x44x40x36:4:3:2)</t>
  </si>
  <si>
    <t>(13x(2aus4)x12x(2aus4)x11x(2aus4):3:2)x(40x36:2)</t>
  </si>
  <si>
    <t>13x(3aus4)x12x(2aus4)x(44x40x36:3:2)</t>
  </si>
  <si>
    <t>13x(3aus4)x(48x44x40x36x32:5:4:3:2)</t>
  </si>
  <si>
    <t>(13x(2aus4)x12x(2aus4):2)x(44x40x36x32:4:3:2)</t>
  </si>
  <si>
    <t>13x(2aus4)x(48x44x40x36x32x28:6:5:4:3:2)</t>
  </si>
  <si>
    <t>Ein Vierling</t>
  </si>
  <si>
    <t>13x(3aus4)x(12x(2aus4)x11x(2aus4):2)x40</t>
  </si>
  <si>
    <t>(13x(3aus4)x12x(3aus4):2)x11x(2aus4)</t>
  </si>
  <si>
    <t>13x(4aus4)x(12x(2aus4)x11x(2aus4):2)</t>
  </si>
  <si>
    <t>52x51x50x49:4:3:2</t>
  </si>
  <si>
    <t>52x51x50x49x48:5:4:3:2</t>
  </si>
  <si>
    <t>52x51x50x49x48x47:6:5:4:3:2</t>
  </si>
  <si>
    <t>52x51x50x49x48x47x46x45:8:7:6:5:4:3:2</t>
  </si>
  <si>
    <r>
      <t>(4hoch4)x11</t>
    </r>
    <r>
      <rPr>
        <b/>
        <sz val="10"/>
        <color indexed="8"/>
        <rFont val="Arial"/>
        <family val="2"/>
      </rPr>
      <t>-(FS)</t>
    </r>
  </si>
  <si>
    <r>
      <t>(4aus13)x4</t>
    </r>
    <r>
      <rPr>
        <b/>
        <sz val="10"/>
        <color indexed="8"/>
        <rFont val="Arial"/>
        <family val="2"/>
      </rPr>
      <t>-(FS)</t>
    </r>
  </si>
  <si>
    <r>
      <t>(8aus13)x4</t>
    </r>
    <r>
      <rPr>
        <b/>
        <sz val="10"/>
        <color indexed="8"/>
        <rFont val="Arial"/>
        <family val="2"/>
      </rPr>
      <t>-(FS)</t>
    </r>
  </si>
  <si>
    <r>
      <t>(4hoch8)x7</t>
    </r>
    <r>
      <rPr>
        <b/>
        <sz val="10"/>
        <color indexed="8"/>
        <rFont val="Arial"/>
        <family val="2"/>
      </rPr>
      <t>-(FS)</t>
    </r>
  </si>
  <si>
    <r>
      <t>52x48x44x40x36x32x28x24:8:7:6:5:4:3:2</t>
    </r>
    <r>
      <rPr>
        <b/>
        <sz val="10"/>
        <color indexed="8"/>
        <rFont val="Arial"/>
        <family val="2"/>
      </rPr>
      <t>-(FS)-(FF)-(S)</t>
    </r>
  </si>
  <si>
    <r>
      <t>(5aus13)x4</t>
    </r>
    <r>
      <rPr>
        <b/>
        <sz val="10"/>
        <color indexed="8"/>
        <rFont val="Arial"/>
        <family val="2"/>
      </rPr>
      <t>-(FS)</t>
    </r>
  </si>
  <si>
    <r>
      <t>(4hoch5)x10</t>
    </r>
    <r>
      <rPr>
        <b/>
        <sz val="10"/>
        <color indexed="8"/>
        <rFont val="Arial"/>
        <family val="2"/>
      </rPr>
      <t>-(FS)</t>
    </r>
  </si>
  <si>
    <r>
      <t>52x48x44x40x36:5:4:3:2</t>
    </r>
    <r>
      <rPr>
        <b/>
        <sz val="10"/>
        <color indexed="8"/>
        <rFont val="Arial"/>
        <family val="2"/>
      </rPr>
      <t>-(FS)-(FF)-(S)</t>
    </r>
  </si>
  <si>
    <r>
      <t>(6aus13)x4</t>
    </r>
    <r>
      <rPr>
        <b/>
        <sz val="10"/>
        <color indexed="8"/>
        <rFont val="Arial"/>
        <family val="2"/>
      </rPr>
      <t>-(FS)</t>
    </r>
  </si>
  <si>
    <r>
      <t>(4hoch6)x9</t>
    </r>
    <r>
      <rPr>
        <b/>
        <sz val="10"/>
        <color indexed="8"/>
        <rFont val="Arial"/>
        <family val="2"/>
      </rPr>
      <t>-(FS)</t>
    </r>
  </si>
  <si>
    <r>
      <t>52x48x44x40x36x32:6:5:4:3:2</t>
    </r>
    <r>
      <rPr>
        <b/>
        <sz val="10"/>
        <color indexed="8"/>
        <rFont val="Arial"/>
        <family val="2"/>
      </rPr>
      <t>-(FS)-(FF)-(S)</t>
    </r>
  </si>
  <si>
    <t>13x(2aus4)x12x(2aus4):2</t>
  </si>
  <si>
    <t>52x51x50x49x48x47x46:7:6:5:4:3:2</t>
  </si>
  <si>
    <t>8x4</t>
  </si>
  <si>
    <r>
      <t>(7aus13)x4</t>
    </r>
    <r>
      <rPr>
        <b/>
        <sz val="10"/>
        <color indexed="8"/>
        <rFont val="Arial"/>
        <family val="2"/>
      </rPr>
      <t>-(FS)</t>
    </r>
  </si>
  <si>
    <t>13x(4aus4)x12x(3aus4)</t>
  </si>
  <si>
    <r>
      <t>(4hoch7)x8</t>
    </r>
    <r>
      <rPr>
        <b/>
        <sz val="10"/>
        <color indexed="8"/>
        <rFont val="Arial"/>
        <family val="2"/>
      </rPr>
      <t>-(FS)</t>
    </r>
  </si>
  <si>
    <t>13x(4aus4)x12x(2aus4)x44</t>
  </si>
  <si>
    <t>(13x(3aus4)x12x(3aus4):2)x44</t>
  </si>
  <si>
    <t>13x(4aus4)x(48x44x40:3:2)</t>
  </si>
  <si>
    <t>13x(3aus4)x(12x(2aus4)x11x(2aus4):2)</t>
  </si>
  <si>
    <t>13x(3aus4)x12x(2aus4)x(44x40:2)</t>
  </si>
  <si>
    <t>13x(3aus4)x(48x44x40x36:4:3:2)</t>
  </si>
  <si>
    <t>(13x(2aus4)x12x(2aus4)x11x(2aus4):3:2)x40</t>
  </si>
  <si>
    <t>(13x(2aus4)x12x(2aus4):2)x(44x40x36:3:2)</t>
  </si>
  <si>
    <t>13x(2aus4)x(48x44x40x36x32:5:4:3:2)</t>
  </si>
  <si>
    <t>V    I    E    R     -     K    A    R    T    E    N     -     V    A    R    I    A    N    T    E</t>
  </si>
  <si>
    <t>F    Ü    N    F     -     K    A    R    T    E    N     -     V    A    R    I    A    N    T    E</t>
  </si>
  <si>
    <t>S    E    C    H    S     -     K    A    R    T    E    N     -     V    A    R    I    A    N    T    E</t>
  </si>
  <si>
    <t>S    I    E    B    E    N     -     K    A    R    T    E    N     -     V    A    R    I    A    N    T    E</t>
  </si>
  <si>
    <t>A    C    H    T     -     K    A    R    T    E    N     -     V    A    R    I    A    N    T    E</t>
  </si>
  <si>
    <r>
      <t>52x48x44x40x36x32x28:7:6:5:4:3:2</t>
    </r>
    <r>
      <rPr>
        <b/>
        <sz val="10"/>
        <color indexed="8"/>
        <rFont val="Arial"/>
        <family val="2"/>
      </rPr>
      <t>-(FS)-(FF)-(S)</t>
    </r>
  </si>
  <si>
    <t>Zwei Drillinge + Ein Paar</t>
  </si>
  <si>
    <t>Ein Drilling + Ein Paar</t>
  </si>
  <si>
    <t>Ein Vierling + Ein Paar</t>
  </si>
  <si>
    <t>Ein Vierling + Ein Drilling</t>
  </si>
  <si>
    <t>Ein Drilling + Zwei Paare</t>
  </si>
  <si>
    <t>Ein Vierling + Zwei Paare</t>
  </si>
  <si>
    <r>
      <t>52x48x44x40:4:3:2</t>
    </r>
    <r>
      <rPr>
        <b/>
        <sz val="10"/>
        <color indexed="8"/>
        <rFont val="Arial"/>
        <family val="2"/>
      </rPr>
      <t>-(FS)-(S)-(FF)</t>
    </r>
  </si>
  <si>
    <t>Exponent:</t>
  </si>
  <si>
    <t>32x31x30x29:4:3:2</t>
  </si>
  <si>
    <t>8x(4aus4)</t>
  </si>
  <si>
    <t>5x4</t>
  </si>
  <si>
    <t>8x(3aus4)x28</t>
  </si>
  <si>
    <t>8x(2aus4)x7x(2aus4):2</t>
  </si>
  <si>
    <t>8x(2aus4)x(28x24:2)</t>
  </si>
  <si>
    <t>32x31x30x29x28:5:4:3:2</t>
  </si>
  <si>
    <t>4x4</t>
  </si>
  <si>
    <t>8x(4aus4)x28</t>
  </si>
  <si>
    <t>8x(3aus4)x7x(2aus4)</t>
  </si>
  <si>
    <t>8x(3aus4)x(28x24:2)</t>
  </si>
  <si>
    <t>(8x(2aus4)x7x(2aus4):2)x24</t>
  </si>
  <si>
    <t>8x(2aus4)x(28x24x20:3:2)</t>
  </si>
  <si>
    <t>32x31x30x29x28x27:6:5:4:3:2</t>
  </si>
  <si>
    <t>3x4</t>
  </si>
  <si>
    <t>8x(4aus4)x7x(2aus4)</t>
  </si>
  <si>
    <t>8x(3aus4)x7x(3aus4):2</t>
  </si>
  <si>
    <t>8x(4aus4)x(28x24:2)</t>
  </si>
  <si>
    <t>8x(2aus4)x7x(2aus4)x6x(2aus4):3:2</t>
  </si>
  <si>
    <t>8x(3aus4)x7x(2aus4)x24</t>
  </si>
  <si>
    <t>8x(3aus4)x(28x24x20:3:2)</t>
  </si>
  <si>
    <t>(8x(2aus4)x7x(2aus4):2)x(24x20:2)</t>
  </si>
  <si>
    <t>8x(2aus4)x(28x24x20x16:4:3:2)</t>
  </si>
  <si>
    <r>
      <t>(4aus8)x4</t>
    </r>
    <r>
      <rPr>
        <b/>
        <sz val="10"/>
        <color indexed="8"/>
        <rFont val="Arial"/>
        <family val="2"/>
      </rPr>
      <t>-(FS)</t>
    </r>
  </si>
  <si>
    <r>
      <t>(4hoch4)x5</t>
    </r>
    <r>
      <rPr>
        <b/>
        <sz val="10"/>
        <color indexed="8"/>
        <rFont val="Arial"/>
        <family val="2"/>
      </rPr>
      <t>-(FS)</t>
    </r>
  </si>
  <si>
    <r>
      <t>32x28x24x20:4:3:2</t>
    </r>
    <r>
      <rPr>
        <b/>
        <sz val="10"/>
        <color indexed="8"/>
        <rFont val="Arial"/>
        <family val="2"/>
      </rPr>
      <t>-(FS)-(FF)-(S)</t>
    </r>
  </si>
  <si>
    <r>
      <t>(5aus8)x4</t>
    </r>
    <r>
      <rPr>
        <b/>
        <sz val="10"/>
        <color indexed="8"/>
        <rFont val="Arial"/>
        <family val="2"/>
      </rPr>
      <t>-(FS)</t>
    </r>
  </si>
  <si>
    <r>
      <t>(4hoch5)x4</t>
    </r>
    <r>
      <rPr>
        <b/>
        <sz val="10"/>
        <color indexed="8"/>
        <rFont val="Arial"/>
        <family val="2"/>
      </rPr>
      <t>-(FS)</t>
    </r>
  </si>
  <si>
    <r>
      <t>32x28x24x20x16:5:4:3:2</t>
    </r>
    <r>
      <rPr>
        <b/>
        <sz val="10"/>
        <color indexed="8"/>
        <rFont val="Arial"/>
        <family val="2"/>
      </rPr>
      <t>-(FS)-(FF)-(S)</t>
    </r>
  </si>
  <si>
    <r>
      <t>(6aus8)x4</t>
    </r>
    <r>
      <rPr>
        <b/>
        <sz val="10"/>
        <color indexed="8"/>
        <rFont val="Arial"/>
        <family val="2"/>
      </rPr>
      <t>-(FS)</t>
    </r>
  </si>
  <si>
    <r>
      <t>(4hoch6)x3</t>
    </r>
    <r>
      <rPr>
        <b/>
        <sz val="10"/>
        <color indexed="8"/>
        <rFont val="Arial"/>
        <family val="2"/>
      </rPr>
      <t>-(FS)</t>
    </r>
  </si>
  <si>
    <r>
      <t>32x28x24x20x16x32:6:5:4:3:2</t>
    </r>
    <r>
      <rPr>
        <b/>
        <sz val="10"/>
        <color indexed="8"/>
        <rFont val="Arial"/>
        <family val="2"/>
      </rPr>
      <t>-(FS)-(FF)-(S)</t>
    </r>
  </si>
  <si>
    <t>* Der Exponent gibt die Zahl an, mit der die Chancen potenziert werden, um die Wertigkeit der einzelnen Kartenkombinationen zu erhalten.</t>
  </si>
  <si>
    <t>Flöte</t>
  </si>
  <si>
    <r>
      <t xml:space="preserve">Farbstraße </t>
    </r>
    <r>
      <rPr>
        <b/>
        <sz val="10"/>
        <color indexed="8"/>
        <rFont val="Arial"/>
        <family val="2"/>
      </rPr>
      <t>(FS)</t>
    </r>
  </si>
  <si>
    <r>
      <t xml:space="preserve">★ Straße </t>
    </r>
    <r>
      <rPr>
        <b/>
        <sz val="10"/>
        <color indexed="8"/>
        <rFont val="Arial"/>
        <family val="2"/>
      </rPr>
      <t>(S+)</t>
    </r>
  </si>
  <si>
    <t>(4x3x2)x5</t>
  </si>
  <si>
    <r>
      <t xml:space="preserve">★ Zwei Paare </t>
    </r>
    <r>
      <rPr>
        <b/>
        <sz val="10"/>
        <rFont val="Arial"/>
        <family val="2"/>
      </rPr>
      <t>(PP+)</t>
    </r>
  </si>
  <si>
    <t>8x(2aus4)x7x(2aus2):2</t>
  </si>
  <si>
    <r>
      <t xml:space="preserve">★ Ein Drilling </t>
    </r>
    <r>
      <rPr>
        <b/>
        <sz val="10"/>
        <color indexed="8"/>
        <rFont val="Arial"/>
        <family val="2"/>
      </rPr>
      <t>(D+)</t>
    </r>
  </si>
  <si>
    <t>8x(3aus4)x7</t>
  </si>
  <si>
    <r>
      <t xml:space="preserve">Farbflöte </t>
    </r>
    <r>
      <rPr>
        <b/>
        <sz val="10"/>
        <color indexed="8"/>
        <rFont val="Arial"/>
        <family val="2"/>
      </rPr>
      <t>(FF)</t>
    </r>
  </si>
  <si>
    <r>
      <t xml:space="preserve">Straße </t>
    </r>
    <r>
      <rPr>
        <b/>
        <sz val="10"/>
        <color indexed="8"/>
        <rFont val="Arial"/>
        <family val="2"/>
      </rPr>
      <t>(S)</t>
    </r>
  </si>
  <si>
    <r>
      <t>(4hoch4)x5</t>
    </r>
    <r>
      <rPr>
        <b/>
        <sz val="10"/>
        <color indexed="8"/>
        <rFont val="Arial"/>
        <family val="2"/>
      </rPr>
      <t>-(FS)-(S+)</t>
    </r>
  </si>
  <si>
    <r>
      <t xml:space="preserve">★ Flöte </t>
    </r>
    <r>
      <rPr>
        <b/>
        <sz val="10"/>
        <color indexed="8"/>
        <rFont val="Arial"/>
        <family val="2"/>
      </rPr>
      <t>(F+)</t>
    </r>
  </si>
  <si>
    <r>
      <t>32x21x12x5:4:3:2</t>
    </r>
    <r>
      <rPr>
        <b/>
        <sz val="10"/>
        <rFont val="Arial"/>
        <family val="2"/>
      </rPr>
      <t>-(S+)</t>
    </r>
  </si>
  <si>
    <r>
      <t xml:space="preserve">★ Ein Paar </t>
    </r>
    <r>
      <rPr>
        <b/>
        <sz val="10"/>
        <rFont val="Arial"/>
        <family val="2"/>
      </rPr>
      <t>(P+)</t>
    </r>
  </si>
  <si>
    <t>8x(2aus4)x(14x6:2)</t>
  </si>
  <si>
    <r>
      <t>32x28x24x20:4:3:2</t>
    </r>
    <r>
      <rPr>
        <b/>
        <sz val="10"/>
        <color indexed="8"/>
        <rFont val="Arial"/>
        <family val="2"/>
      </rPr>
      <t>-(FS)-(S+)-(FF)-(S)-(F+)</t>
    </r>
  </si>
  <si>
    <t>V   I   E   R    -    K   A   R   T   E   N    -    S   O   N   D   E   R   V   A   R   I   A   N   T   E</t>
  </si>
  <si>
    <t>(4x3x2)x11</t>
  </si>
  <si>
    <t>13x(2aus4)x12x(2aus2):2</t>
  </si>
  <si>
    <t>13x(3aus4)x12</t>
  </si>
  <si>
    <r>
      <t>(4hoch4)x11</t>
    </r>
    <r>
      <rPr>
        <b/>
        <sz val="10"/>
        <color indexed="8"/>
        <rFont val="Arial"/>
        <family val="2"/>
      </rPr>
      <t>-(FS)-(S+)</t>
    </r>
  </si>
  <si>
    <t>13x(2aus4)x(24x11:2)</t>
  </si>
  <si>
    <r>
      <t>52x36x22x10:4:3:2</t>
    </r>
    <r>
      <rPr>
        <b/>
        <sz val="10"/>
        <rFont val="Arial"/>
        <family val="2"/>
      </rPr>
      <t>-(S+)</t>
    </r>
  </si>
  <si>
    <r>
      <t>52x48x44x40:4:3:2</t>
    </r>
    <r>
      <rPr>
        <b/>
        <sz val="10"/>
        <color indexed="8"/>
        <rFont val="Arial"/>
        <family val="2"/>
      </rPr>
      <t>-(FS)-(S+)-(S)-(FF)-(F+)</t>
    </r>
  </si>
  <si>
    <t>★ Jede Karte muss in einer unterschiedlichen Farbe sein (eine Karte in Karo, eine Karte in Herz, eine Karte in Pik und eine Karte in Kreuz)</t>
  </si>
  <si>
    <r>
      <t>8x(2aus4)x(28x24:2)</t>
    </r>
    <r>
      <rPr>
        <b/>
        <sz val="10"/>
        <rFont val="Arial"/>
        <family val="2"/>
      </rPr>
      <t>-(P+)</t>
    </r>
  </si>
  <si>
    <r>
      <t>8x(2aus4)x7x(2aus4):2</t>
    </r>
    <r>
      <rPr>
        <b/>
        <sz val="10"/>
        <rFont val="Arial"/>
        <family val="2"/>
      </rPr>
      <t>-(PP+)</t>
    </r>
  </si>
  <si>
    <r>
      <t>8x(3aus4)x28</t>
    </r>
    <r>
      <rPr>
        <b/>
        <sz val="10"/>
        <rFont val="Arial"/>
        <family val="2"/>
      </rPr>
      <t>-(D+)</t>
    </r>
  </si>
  <si>
    <r>
      <t>13x(2aus4)x(48x44:2)</t>
    </r>
    <r>
      <rPr>
        <b/>
        <sz val="10"/>
        <rFont val="Arial"/>
        <family val="2"/>
      </rPr>
      <t>-(P+)</t>
    </r>
  </si>
  <si>
    <r>
      <t>13x(2aus4)x12x(2aus4):2</t>
    </r>
    <r>
      <rPr>
        <b/>
        <sz val="10"/>
        <rFont val="Arial"/>
        <family val="2"/>
      </rPr>
      <t>-(PP+)</t>
    </r>
  </si>
  <si>
    <r>
      <t>13x(3aus4)x48</t>
    </r>
    <r>
      <rPr>
        <b/>
        <sz val="10"/>
        <rFont val="Arial"/>
        <family val="2"/>
      </rPr>
      <t>-(D+)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</si>
</sst>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\ %"/>
    <numFmt numFmtId="182" formatCode="0.000\ %"/>
    <numFmt numFmtId="183" formatCode="0.000"/>
    <numFmt numFmtId="184" formatCode="0.0000"/>
    <numFmt numFmtId="185" formatCode="#,##0.0"/>
    <numFmt numFmtId="186" formatCode="#,##0.000"/>
    <numFmt numFmtId="187" formatCode="0.000%"/>
    <numFmt numFmtId="188" formatCode="0.0000%"/>
    <numFmt numFmtId="189" formatCode="0.0%"/>
    <numFmt numFmtId="190" formatCode="0.00000%"/>
    <numFmt numFmtId="191" formatCode="0.0\ %"/>
    <numFmt numFmtId="192" formatCode="0.0000\ %"/>
    <numFmt numFmtId="193" formatCode="0.00000\ %"/>
    <numFmt numFmtId="194" formatCode="0.000000%"/>
    <numFmt numFmtId="195" formatCode="0.0000000%"/>
    <numFmt numFmtId="196" formatCode="0.00\ %&quot;  &quot;"/>
    <numFmt numFmtId="197" formatCode="0.00\ %&quot; *&quot;"/>
    <numFmt numFmtId="198" formatCode="0.000\ %&quot;  &quot;"/>
    <numFmt numFmtId="199" formatCode="0.00000"/>
    <numFmt numFmtId="200" formatCode="#,##0.0000"/>
    <numFmt numFmtId="201" formatCode="#,##0.0000\ &quot;*&quot;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7"/>
      <name val="Arial"/>
      <family val="0"/>
    </font>
    <font>
      <b/>
      <sz val="17"/>
      <name val="Arial"/>
      <family val="2"/>
    </font>
    <font>
      <b/>
      <sz val="17"/>
      <color indexed="8"/>
      <name val="Arial"/>
      <family val="2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sz val="10"/>
      <color indexed="9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/>
    </xf>
    <xf numFmtId="20" fontId="0" fillId="3" borderId="2" xfId="0" applyNumberFormat="1" applyFill="1" applyBorder="1" applyAlignment="1" quotePrefix="1">
      <alignment horizontal="left" vertical="center"/>
    </xf>
    <xf numFmtId="3" fontId="0" fillId="3" borderId="3" xfId="0" applyNumberFormat="1" applyFill="1" applyBorder="1" applyAlignment="1">
      <alignment horizontal="left" vertical="center"/>
    </xf>
    <xf numFmtId="4" fontId="0" fillId="3" borderId="3" xfId="0" applyNumberFormat="1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80" fontId="0" fillId="3" borderId="3" xfId="0" applyNumberFormat="1" applyFill="1" applyBorder="1" applyAlignment="1">
      <alignment horizontal="left" vertical="center"/>
    </xf>
    <xf numFmtId="185" fontId="0" fillId="3" borderId="3" xfId="0" applyNumberFormat="1" applyFill="1" applyBorder="1" applyAlignment="1">
      <alignment horizontal="left" vertical="center"/>
    </xf>
    <xf numFmtId="1" fontId="0" fillId="3" borderId="3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201" fontId="3" fillId="7" borderId="3" xfId="0" applyNumberFormat="1" applyFon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left" vertical="center"/>
    </xf>
    <xf numFmtId="195" fontId="0" fillId="9" borderId="1" xfId="0" applyNumberFormat="1" applyFill="1" applyBorder="1" applyAlignment="1">
      <alignment horizontal="center" vertical="center"/>
    </xf>
    <xf numFmtId="194" fontId="0" fillId="9" borderId="1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/>
    </xf>
    <xf numFmtId="201" fontId="3" fillId="10" borderId="3" xfId="0" applyNumberFormat="1" applyFont="1" applyFill="1" applyBorder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3" fontId="9" fillId="11" borderId="0" xfId="0" applyNumberFormat="1" applyFont="1" applyFill="1" applyAlignment="1">
      <alignment horizontal="center" vertical="center"/>
    </xf>
    <xf numFmtId="0" fontId="9" fillId="11" borderId="0" xfId="0" applyFont="1" applyFill="1" applyAlignment="1">
      <alignment vertical="center"/>
    </xf>
    <xf numFmtId="10" fontId="9" fillId="11" borderId="0" xfId="0" applyNumberFormat="1" applyFont="1" applyFill="1" applyAlignment="1">
      <alignment vertical="center"/>
    </xf>
    <xf numFmtId="0" fontId="8" fillId="11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10" fontId="9" fillId="11" borderId="0" xfId="0" applyNumberFormat="1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0" fillId="11" borderId="4" xfId="0" applyFill="1" applyBorder="1" applyAlignment="1">
      <alignment vertical="center"/>
    </xf>
    <xf numFmtId="0" fontId="0" fillId="11" borderId="4" xfId="0" applyFill="1" applyBorder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10" fillId="11" borderId="4" xfId="0" applyFont="1" applyFill="1" applyBorder="1" applyAlignment="1">
      <alignment vertical="center"/>
    </xf>
    <xf numFmtId="0" fontId="10" fillId="11" borderId="4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3" fontId="3" fillId="10" borderId="2" xfId="0" applyNumberFormat="1" applyFont="1" applyFill="1" applyBorder="1" applyAlignment="1">
      <alignment horizontal="center" vertical="center"/>
    </xf>
    <xf numFmtId="3" fontId="3" fillId="10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3" fontId="3" fillId="7" borderId="3" xfId="0" applyNumberFormat="1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workbookViewId="0" topLeftCell="A1">
      <selection activeCell="I1" sqref="I1"/>
    </sheetView>
  </sheetViews>
  <sheetFormatPr defaultColWidth="11.421875" defaultRowHeight="12.75"/>
  <cols>
    <col min="1" max="1" width="6.7109375" style="1" customWidth="1"/>
    <col min="2" max="2" width="23.28125" style="1" customWidth="1"/>
    <col min="3" max="3" width="48.57421875" style="1" customWidth="1"/>
    <col min="4" max="4" width="25.7109375" style="1" customWidth="1"/>
    <col min="5" max="5" width="1.7109375" style="1" customWidth="1"/>
    <col min="6" max="6" width="11.00390625" style="1" customWidth="1"/>
    <col min="7" max="7" width="13.00390625" style="1" customWidth="1"/>
    <col min="8" max="8" width="1.7109375" style="1" customWidth="1"/>
    <col min="9" max="16384" width="5.7109375" style="1" customWidth="1"/>
  </cols>
  <sheetData>
    <row r="1" spans="1:7" ht="24" customHeight="1">
      <c r="A1" s="42" t="s">
        <v>143</v>
      </c>
      <c r="B1" s="43"/>
      <c r="C1" s="43"/>
      <c r="D1" s="43"/>
      <c r="E1" s="43"/>
      <c r="F1" s="43"/>
      <c r="G1" s="44"/>
    </row>
    <row r="2" spans="1:7" ht="18" customHeight="1">
      <c r="A2" s="45" t="s">
        <v>3</v>
      </c>
      <c r="B2" s="46"/>
      <c r="C2" s="25" t="s">
        <v>50</v>
      </c>
      <c r="D2" s="26">
        <f>COMBIN(52,4)</f>
        <v>270725.00000000006</v>
      </c>
      <c r="E2" s="47" t="s">
        <v>93</v>
      </c>
      <c r="F2" s="48"/>
      <c r="G2" s="27">
        <v>0.3435</v>
      </c>
    </row>
    <row r="3" s="36" customFormat="1" ht="6" customHeight="1"/>
    <row r="4" spans="1:7" ht="15.75" customHeight="1">
      <c r="A4" s="13" t="s">
        <v>29</v>
      </c>
      <c r="B4" s="14" t="s">
        <v>30</v>
      </c>
      <c r="C4" s="13" t="s">
        <v>0</v>
      </c>
      <c r="D4" s="13" t="s">
        <v>2</v>
      </c>
      <c r="E4" s="49" t="s">
        <v>1</v>
      </c>
      <c r="F4" s="50"/>
      <c r="G4" s="13" t="s">
        <v>28</v>
      </c>
    </row>
    <row r="5" spans="1:7" s="36" customFormat="1" ht="3" customHeight="1">
      <c r="A5" s="37"/>
      <c r="B5" s="38"/>
      <c r="C5" s="38"/>
      <c r="D5" s="38"/>
      <c r="E5" s="38"/>
      <c r="F5" s="38"/>
      <c r="G5" s="37"/>
    </row>
    <row r="6" spans="1:7" ht="15.75" customHeight="1">
      <c r="A6" s="18">
        <f>POWER(F6,G2)</f>
        <v>30.439250239555857</v>
      </c>
      <c r="B6" s="2" t="s">
        <v>46</v>
      </c>
      <c r="C6" s="7" t="s">
        <v>24</v>
      </c>
      <c r="D6" s="6">
        <f>13*(COMBIN(4,4))</f>
        <v>13</v>
      </c>
      <c r="E6" s="3" t="s">
        <v>4</v>
      </c>
      <c r="F6" s="4">
        <f>D2/D6</f>
        <v>20825.000000000004</v>
      </c>
      <c r="G6" s="21">
        <f aca="true" t="shared" si="0" ref="G6:G18">1/F6</f>
        <v>4.801920768307322E-05</v>
      </c>
    </row>
    <row r="7" spans="1:7" ht="15.75" customHeight="1">
      <c r="A7" s="18">
        <f>POWER(F7,G2)</f>
        <v>20.023846072783254</v>
      </c>
      <c r="B7" s="12" t="s">
        <v>128</v>
      </c>
      <c r="C7" s="7" t="s">
        <v>27</v>
      </c>
      <c r="D7" s="6">
        <f>11*4</f>
        <v>44</v>
      </c>
      <c r="E7" s="3" t="s">
        <v>4</v>
      </c>
      <c r="F7" s="4">
        <f>D2/D7</f>
        <v>6152.840909090911</v>
      </c>
      <c r="G7" s="21">
        <f t="shared" si="0"/>
        <v>0.00016252654908117088</v>
      </c>
    </row>
    <row r="8" spans="1:7" ht="15.75" customHeight="1">
      <c r="A8" s="18">
        <f>POWER(F8,G2)</f>
        <v>10.820629913999815</v>
      </c>
      <c r="B8" s="12" t="s">
        <v>129</v>
      </c>
      <c r="C8" s="7" t="s">
        <v>144</v>
      </c>
      <c r="D8" s="6">
        <f>24*11</f>
        <v>264</v>
      </c>
      <c r="E8" s="3" t="s">
        <v>4</v>
      </c>
      <c r="F8" s="4">
        <f>D2/D8</f>
        <v>1025.473484848485</v>
      </c>
      <c r="G8" s="21">
        <f t="shared" si="0"/>
        <v>0.0009751592944870254</v>
      </c>
    </row>
    <row r="9" spans="1:7" ht="15.75" customHeight="1">
      <c r="A9" s="18">
        <f>POWER(F9,G2)</f>
        <v>8.888818571204373</v>
      </c>
      <c r="B9" s="24" t="s">
        <v>131</v>
      </c>
      <c r="C9" s="7" t="s">
        <v>145</v>
      </c>
      <c r="D9" s="6">
        <f>(13*(COMBIN(4,2))*12*(COMBIN(2,2))/2)</f>
        <v>468</v>
      </c>
      <c r="E9" s="3" t="s">
        <v>4</v>
      </c>
      <c r="F9" s="4">
        <f>D2/D9</f>
        <v>578.4722222222224</v>
      </c>
      <c r="G9" s="21">
        <f t="shared" si="0"/>
        <v>0.0017286914765906357</v>
      </c>
    </row>
    <row r="10" spans="1:7" ht="15.75" customHeight="1">
      <c r="A10" s="18">
        <f>POWER(F10,G2)</f>
        <v>8.052441639367132</v>
      </c>
      <c r="B10" s="12" t="s">
        <v>133</v>
      </c>
      <c r="C10" s="7" t="s">
        <v>146</v>
      </c>
      <c r="D10" s="6">
        <f>13*(COMBIN(4,3))*12</f>
        <v>624</v>
      </c>
      <c r="E10" s="3" t="s">
        <v>4</v>
      </c>
      <c r="F10" s="4">
        <f>D2/D10</f>
        <v>433.85416666666674</v>
      </c>
      <c r="G10" s="21">
        <f t="shared" si="0"/>
        <v>0.0023049219687875148</v>
      </c>
    </row>
    <row r="11" spans="1:7" ht="15.75" customHeight="1">
      <c r="A11" s="18">
        <f>POWER(F11,G2)</f>
        <v>5.521237574957547</v>
      </c>
      <c r="B11" s="2" t="s">
        <v>19</v>
      </c>
      <c r="C11" s="7" t="s">
        <v>157</v>
      </c>
      <c r="D11" s="6">
        <f>13*(COMBIN(4,3))*48-(D10)</f>
        <v>1872</v>
      </c>
      <c r="E11" s="3" t="s">
        <v>4</v>
      </c>
      <c r="F11" s="4">
        <f>D2/D11</f>
        <v>144.6180555555556</v>
      </c>
      <c r="G11" s="21">
        <f t="shared" si="0"/>
        <v>0.006914765906362543</v>
      </c>
    </row>
    <row r="12" spans="1:7" ht="15.75" customHeight="1">
      <c r="A12" s="18">
        <f>POWER(F12,G2)</f>
        <v>5.113848355664711</v>
      </c>
      <c r="B12" s="2" t="s">
        <v>6</v>
      </c>
      <c r="C12" s="7" t="s">
        <v>156</v>
      </c>
      <c r="D12" s="6">
        <f>(13*(COMBIN(4,2))*12*(COMBIN(4,2))/2)-(D9)</f>
        <v>2340</v>
      </c>
      <c r="E12" s="3" t="s">
        <v>4</v>
      </c>
      <c r="F12" s="4">
        <f>D2/D12</f>
        <v>115.69444444444447</v>
      </c>
      <c r="G12" s="21">
        <f t="shared" si="0"/>
        <v>0.00864345738295318</v>
      </c>
    </row>
    <row r="13" spans="1:7" ht="15.75" customHeight="1">
      <c r="A13" s="18">
        <f>POWER(F13,G2)</f>
        <v>4.993493457327999</v>
      </c>
      <c r="B13" s="12" t="s">
        <v>136</v>
      </c>
      <c r="C13" s="7" t="s">
        <v>147</v>
      </c>
      <c r="D13" s="6">
        <f>(POWER(4,4))*11-(D7)-(D8)</f>
        <v>2508</v>
      </c>
      <c r="E13" s="3" t="s">
        <v>4</v>
      </c>
      <c r="F13" s="4">
        <f>D2/D13</f>
        <v>107.94457735247211</v>
      </c>
      <c r="G13" s="21">
        <f t="shared" si="0"/>
        <v>0.00926401329762674</v>
      </c>
    </row>
    <row r="14" spans="1:7" ht="15.75" customHeight="1">
      <c r="A14" s="18">
        <f>POWER(F14,G2)</f>
        <v>4.798711900459954</v>
      </c>
      <c r="B14" s="12" t="s">
        <v>135</v>
      </c>
      <c r="C14" s="7" t="s">
        <v>55</v>
      </c>
      <c r="D14" s="6">
        <f>(COMBIN(13,4))*4-(D7)</f>
        <v>2816</v>
      </c>
      <c r="E14" s="3" t="s">
        <v>4</v>
      </c>
      <c r="F14" s="10">
        <f>D2/D14</f>
        <v>96.13813920454548</v>
      </c>
      <c r="G14" s="21">
        <f t="shared" si="0"/>
        <v>0.010401699141194936</v>
      </c>
    </row>
    <row r="15" spans="1:7" ht="15.75" customHeight="1">
      <c r="A15" s="18">
        <f>POWER(F15,G2)</f>
        <v>3.0741273237878297</v>
      </c>
      <c r="B15" s="24" t="s">
        <v>140</v>
      </c>
      <c r="C15" s="7" t="s">
        <v>148</v>
      </c>
      <c r="D15" s="6">
        <f>13*(COMBIN(4,2))*(24*11/2)</f>
        <v>10296</v>
      </c>
      <c r="E15" s="3" t="s">
        <v>4</v>
      </c>
      <c r="F15" s="10">
        <f>D2/D15</f>
        <v>26.294191919191924</v>
      </c>
      <c r="G15" s="21">
        <f t="shared" si="0"/>
        <v>0.03803121248499399</v>
      </c>
    </row>
    <row r="16" spans="1:7" ht="15.75" customHeight="1">
      <c r="A16" s="18">
        <f>POWER(F16,G2)</f>
        <v>2.593162439925132</v>
      </c>
      <c r="B16" s="12" t="s">
        <v>138</v>
      </c>
      <c r="C16" s="7" t="s">
        <v>149</v>
      </c>
      <c r="D16" s="6">
        <f>52*36*22*10/4/3/2-(D8)</f>
        <v>16896</v>
      </c>
      <c r="E16" s="3" t="s">
        <v>4</v>
      </c>
      <c r="F16" s="10">
        <f>D2/D16</f>
        <v>16.023023200757578</v>
      </c>
      <c r="G16" s="21">
        <f t="shared" si="0"/>
        <v>0.06241019484716963</v>
      </c>
    </row>
    <row r="17" spans="1:7" ht="15.75" customHeight="1">
      <c r="A17" s="18">
        <f>POWER(F17,G2)</f>
        <v>1.5755445012917662</v>
      </c>
      <c r="B17" s="2" t="s">
        <v>7</v>
      </c>
      <c r="C17" s="7" t="s">
        <v>155</v>
      </c>
      <c r="D17" s="6">
        <f>13*(COMBIN(4,2))*(48*44/2)-(D15)</f>
        <v>72072</v>
      </c>
      <c r="E17" s="3" t="s">
        <v>4</v>
      </c>
      <c r="F17" s="5">
        <f>D2/D17</f>
        <v>3.756313131313132</v>
      </c>
      <c r="G17" s="21">
        <f t="shared" si="0"/>
        <v>0.26621848739495796</v>
      </c>
    </row>
    <row r="18" spans="1:7" ht="15.75" customHeight="1">
      <c r="A18" s="18">
        <f>POWER(F18,G2)</f>
        <v>1.196690006078243</v>
      </c>
      <c r="B18" s="2" t="s">
        <v>127</v>
      </c>
      <c r="C18" s="7" t="s">
        <v>150</v>
      </c>
      <c r="D18" s="6">
        <f>52*48*44*40/4/3/2-(D7)-(D8)-(D13)-(D14)-(D16)</f>
        <v>160512</v>
      </c>
      <c r="E18" s="3" t="s">
        <v>4</v>
      </c>
      <c r="F18" s="5">
        <f>D2/D18</f>
        <v>1.6866340211323767</v>
      </c>
      <c r="G18" s="21">
        <f t="shared" si="0"/>
        <v>0.5928968510481114</v>
      </c>
    </row>
    <row r="19" spans="4:7" s="29" customFormat="1" ht="18" customHeight="1">
      <c r="D19" s="30">
        <f>SUM(D6:D18)</f>
        <v>270725</v>
      </c>
      <c r="E19" s="31"/>
      <c r="F19" s="31"/>
      <c r="G19" s="32">
        <f>SUM(G6:G18)</f>
        <v>0.9999999999999998</v>
      </c>
    </row>
    <row r="20" spans="1:7" ht="24" customHeight="1">
      <c r="A20" s="51" t="s">
        <v>80</v>
      </c>
      <c r="B20" s="52"/>
      <c r="C20" s="52"/>
      <c r="D20" s="52"/>
      <c r="E20" s="52"/>
      <c r="F20" s="52"/>
      <c r="G20" s="53"/>
    </row>
    <row r="21" spans="1:7" ht="18" customHeight="1">
      <c r="A21" s="54" t="s">
        <v>3</v>
      </c>
      <c r="B21" s="55"/>
      <c r="C21" s="16" t="s">
        <v>50</v>
      </c>
      <c r="D21" s="17">
        <f>COMBIN(52,4)</f>
        <v>270725.00000000006</v>
      </c>
      <c r="E21" s="56" t="s">
        <v>93</v>
      </c>
      <c r="F21" s="57"/>
      <c r="G21" s="19">
        <v>0.3435</v>
      </c>
    </row>
    <row r="22" s="36" customFormat="1" ht="6" customHeight="1"/>
    <row r="23" spans="1:7" ht="15.75" customHeight="1">
      <c r="A23" s="13" t="s">
        <v>29</v>
      </c>
      <c r="B23" s="14" t="s">
        <v>30</v>
      </c>
      <c r="C23" s="13" t="s">
        <v>0</v>
      </c>
      <c r="D23" s="13" t="s">
        <v>2</v>
      </c>
      <c r="E23" s="49" t="s">
        <v>1</v>
      </c>
      <c r="F23" s="50"/>
      <c r="G23" s="13" t="s">
        <v>28</v>
      </c>
    </row>
    <row r="24" spans="1:7" s="36" customFormat="1" ht="3" customHeight="1">
      <c r="A24" s="37"/>
      <c r="B24" s="38"/>
      <c r="C24" s="38"/>
      <c r="D24" s="38"/>
      <c r="E24" s="38"/>
      <c r="F24" s="38"/>
      <c r="G24" s="37"/>
    </row>
    <row r="25" spans="1:7" ht="15.75" customHeight="1">
      <c r="A25" s="18">
        <f>POWER(F25,G21)</f>
        <v>30.439250239555857</v>
      </c>
      <c r="B25" s="2" t="s">
        <v>46</v>
      </c>
      <c r="C25" s="7" t="s">
        <v>24</v>
      </c>
      <c r="D25" s="6">
        <f>13*(COMBIN(4,4))</f>
        <v>13</v>
      </c>
      <c r="E25" s="3" t="s">
        <v>4</v>
      </c>
      <c r="F25" s="4">
        <f>D21/D25</f>
        <v>20825.000000000004</v>
      </c>
      <c r="G25" s="21">
        <f>1/F25</f>
        <v>4.801920768307322E-05</v>
      </c>
    </row>
    <row r="26" spans="1:7" ht="15.75" customHeight="1">
      <c r="A26" s="18">
        <f>POWER(F26,G21)</f>
        <v>20.023846072783254</v>
      </c>
      <c r="B26" s="12" t="s">
        <v>128</v>
      </c>
      <c r="C26" s="7" t="s">
        <v>27</v>
      </c>
      <c r="D26" s="6">
        <f>11*4</f>
        <v>44</v>
      </c>
      <c r="E26" s="3" t="s">
        <v>4</v>
      </c>
      <c r="F26" s="4">
        <f>D21/D26</f>
        <v>6152.840909090911</v>
      </c>
      <c r="G26" s="21">
        <f aca="true" t="shared" si="1" ref="G26:G32">1/F26</f>
        <v>0.00016252654908117088</v>
      </c>
    </row>
    <row r="27" spans="1:7" ht="15.75" customHeight="1">
      <c r="A27" s="18">
        <f>POWER(F27,G21)</f>
        <v>5.001726944169433</v>
      </c>
      <c r="B27" s="2" t="s">
        <v>19</v>
      </c>
      <c r="C27" s="7" t="s">
        <v>25</v>
      </c>
      <c r="D27" s="6">
        <f>13*(COMBIN(4,3))*48</f>
        <v>2496</v>
      </c>
      <c r="E27" s="3" t="s">
        <v>4</v>
      </c>
      <c r="F27" s="11">
        <f>D21/D27</f>
        <v>108.46354166666669</v>
      </c>
      <c r="G27" s="21">
        <f t="shared" si="1"/>
        <v>0.009219687875150059</v>
      </c>
    </row>
    <row r="28" spans="1:7" ht="15.75" customHeight="1">
      <c r="A28" s="18">
        <f>POWER(F28,G21)</f>
        <v>4.82474116333893</v>
      </c>
      <c r="B28" s="12" t="s">
        <v>136</v>
      </c>
      <c r="C28" s="7" t="s">
        <v>54</v>
      </c>
      <c r="D28" s="6">
        <f>(POWER(4,4))*11-(D26)</f>
        <v>2772</v>
      </c>
      <c r="E28" s="3" t="s">
        <v>4</v>
      </c>
      <c r="F28" s="10">
        <f>D21/D28</f>
        <v>97.66414141414144</v>
      </c>
      <c r="G28" s="21">
        <f t="shared" si="1"/>
        <v>0.010239172592113766</v>
      </c>
    </row>
    <row r="29" spans="1:7" ht="15.75" customHeight="1">
      <c r="A29" s="18">
        <f>POWER(F29,G21)</f>
        <v>4.803403690883549</v>
      </c>
      <c r="B29" s="2" t="s">
        <v>6</v>
      </c>
      <c r="C29" s="7" t="s">
        <v>65</v>
      </c>
      <c r="D29" s="6">
        <f>(13*(COMBIN(4,2))*12*(COMBIN(4,2))/2)</f>
        <v>2808</v>
      </c>
      <c r="E29" s="3" t="s">
        <v>4</v>
      </c>
      <c r="F29" s="9">
        <f>D21/D29</f>
        <v>96.41203703703705</v>
      </c>
      <c r="G29" s="21">
        <f t="shared" si="1"/>
        <v>0.010372148859543816</v>
      </c>
    </row>
    <row r="30" spans="1:7" ht="15.75" customHeight="1">
      <c r="A30" s="18">
        <f>POWER(F30,G21)</f>
        <v>4.798711900459954</v>
      </c>
      <c r="B30" s="12" t="s">
        <v>135</v>
      </c>
      <c r="C30" s="7" t="s">
        <v>55</v>
      </c>
      <c r="D30" s="6">
        <f>(COMBIN(13,4))*4-(D26)</f>
        <v>2816</v>
      </c>
      <c r="E30" s="3" t="s">
        <v>4</v>
      </c>
      <c r="F30" s="10">
        <f>D21/D30</f>
        <v>96.13813920454548</v>
      </c>
      <c r="G30" s="21">
        <f t="shared" si="1"/>
        <v>0.010401699141194936</v>
      </c>
    </row>
    <row r="31" spans="1:7" ht="15.75" customHeight="1">
      <c r="A31" s="18">
        <f>POWER(F31,G21)</f>
        <v>1.5049096967952822</v>
      </c>
      <c r="B31" s="2" t="s">
        <v>7</v>
      </c>
      <c r="C31" s="7" t="s">
        <v>26</v>
      </c>
      <c r="D31" s="6">
        <f>13*(COMBIN(4,2))*(48*44/2)</f>
        <v>82368</v>
      </c>
      <c r="E31" s="3" t="s">
        <v>4</v>
      </c>
      <c r="F31" s="5">
        <f>D21/D31</f>
        <v>3.2867739898989905</v>
      </c>
      <c r="G31" s="22">
        <f t="shared" si="1"/>
        <v>0.30424969987995193</v>
      </c>
    </row>
    <row r="32" spans="1:7" ht="15.75" customHeight="1">
      <c r="A32" s="18">
        <f>POWER(F32,G21)</f>
        <v>1.156248542512662</v>
      </c>
      <c r="B32" s="2" t="s">
        <v>127</v>
      </c>
      <c r="C32" s="7" t="s">
        <v>92</v>
      </c>
      <c r="D32" s="6">
        <f>52*48*44*40/4/3/2-D26-D28-D30</f>
        <v>177408</v>
      </c>
      <c r="E32" s="3" t="s">
        <v>4</v>
      </c>
      <c r="F32" s="5">
        <f>D21/D32</f>
        <v>1.52600220959596</v>
      </c>
      <c r="G32" s="22">
        <f t="shared" si="1"/>
        <v>0.655307045895281</v>
      </c>
    </row>
    <row r="33" spans="1:7" ht="18" customHeight="1">
      <c r="A33" s="33"/>
      <c r="B33" s="33"/>
      <c r="C33" s="33"/>
      <c r="D33" s="30">
        <f>SUM(D25:D32)</f>
        <v>270725</v>
      </c>
      <c r="E33" s="34"/>
      <c r="F33" s="34"/>
      <c r="G33" s="35">
        <f>SUM(G25:G32)</f>
        <v>0.9999999999999998</v>
      </c>
    </row>
    <row r="34" spans="1:7" ht="24" customHeight="1">
      <c r="A34" s="58" t="s">
        <v>81</v>
      </c>
      <c r="B34" s="59"/>
      <c r="C34" s="59"/>
      <c r="D34" s="59"/>
      <c r="E34" s="59"/>
      <c r="F34" s="59"/>
      <c r="G34" s="60"/>
    </row>
    <row r="35" spans="1:7" ht="18" customHeight="1">
      <c r="A35" s="54" t="s">
        <v>3</v>
      </c>
      <c r="B35" s="55"/>
      <c r="C35" s="16" t="s">
        <v>51</v>
      </c>
      <c r="D35" s="17">
        <f>COMBIN(52,5)</f>
        <v>2598960</v>
      </c>
      <c r="E35" s="56" t="s">
        <v>93</v>
      </c>
      <c r="F35" s="57"/>
      <c r="G35" s="19">
        <v>0.308</v>
      </c>
    </row>
    <row r="36" spans="1:9" ht="6" customHeight="1">
      <c r="A36" s="36"/>
      <c r="B36" s="36"/>
      <c r="C36" s="36"/>
      <c r="D36" s="36"/>
      <c r="E36" s="36"/>
      <c r="F36" s="36"/>
      <c r="G36" s="36"/>
      <c r="H36" s="36"/>
      <c r="I36" s="36"/>
    </row>
    <row r="37" spans="1:7" ht="15.75" customHeight="1">
      <c r="A37" s="13" t="s">
        <v>29</v>
      </c>
      <c r="B37" s="14" t="s">
        <v>30</v>
      </c>
      <c r="C37" s="13" t="s">
        <v>0</v>
      </c>
      <c r="D37" s="13" t="s">
        <v>2</v>
      </c>
      <c r="E37" s="49" t="s">
        <v>1</v>
      </c>
      <c r="F37" s="50"/>
      <c r="G37" s="13" t="s">
        <v>28</v>
      </c>
    </row>
    <row r="38" spans="1:9" ht="3" customHeight="1">
      <c r="A38" s="37"/>
      <c r="B38" s="38"/>
      <c r="C38" s="38"/>
      <c r="D38" s="38"/>
      <c r="E38" s="38"/>
      <c r="F38" s="38"/>
      <c r="G38" s="37"/>
      <c r="H38" s="36"/>
      <c r="I38" s="36"/>
    </row>
    <row r="39" spans="1:7" ht="15.75" customHeight="1">
      <c r="A39" s="18">
        <f>POWER(F39,G35)</f>
        <v>30.361540137511128</v>
      </c>
      <c r="B39" s="12" t="s">
        <v>128</v>
      </c>
      <c r="C39" s="7" t="s">
        <v>23</v>
      </c>
      <c r="D39" s="6">
        <f>10*4</f>
        <v>40</v>
      </c>
      <c r="E39" s="3" t="s">
        <v>4</v>
      </c>
      <c r="F39" s="4">
        <f>D35/D39</f>
        <v>64974</v>
      </c>
      <c r="G39" s="21">
        <f aca="true" t="shared" si="2" ref="G39:G47">1/F39</f>
        <v>1.5390771693292702E-05</v>
      </c>
    </row>
    <row r="40" spans="1:7" ht="15.75" customHeight="1">
      <c r="A40" s="18">
        <f>POWER(F40,G35)</f>
        <v>13.026910271657389</v>
      </c>
      <c r="B40" s="2" t="s">
        <v>46</v>
      </c>
      <c r="C40" s="7" t="s">
        <v>9</v>
      </c>
      <c r="D40" s="6">
        <f>13*(COMBIN(4,4))*48</f>
        <v>624</v>
      </c>
      <c r="E40" s="3" t="s">
        <v>4</v>
      </c>
      <c r="F40" s="4">
        <f>D35/D40</f>
        <v>4165</v>
      </c>
      <c r="G40" s="21">
        <f t="shared" si="2"/>
        <v>0.00024009603841536616</v>
      </c>
    </row>
    <row r="41" spans="1:7" ht="15.75" customHeight="1">
      <c r="A41" s="18">
        <f>POWER(F41,G35)</f>
        <v>7.501892501875116</v>
      </c>
      <c r="B41" s="2" t="s">
        <v>87</v>
      </c>
      <c r="C41" s="7" t="s">
        <v>8</v>
      </c>
      <c r="D41" s="6">
        <f>13*(COMBIN(4,3))*12*(COMBIN(4,2))</f>
        <v>3744</v>
      </c>
      <c r="E41" s="3" t="s">
        <v>4</v>
      </c>
      <c r="F41" s="4">
        <f>D35/D41</f>
        <v>694.1666666666666</v>
      </c>
      <c r="G41" s="21">
        <f t="shared" si="2"/>
        <v>0.001440576230492197</v>
      </c>
    </row>
    <row r="42" spans="1:7" ht="15.75" customHeight="1">
      <c r="A42" s="18">
        <f>POWER(F42,G35)</f>
        <v>6.8173721434472565</v>
      </c>
      <c r="B42" s="12" t="s">
        <v>135</v>
      </c>
      <c r="C42" s="7" t="s">
        <v>59</v>
      </c>
      <c r="D42" s="6">
        <f>(COMBIN(13,5))*4-(D39)</f>
        <v>5108</v>
      </c>
      <c r="E42" s="3" t="s">
        <v>4</v>
      </c>
      <c r="F42" s="4">
        <f>D35/D42</f>
        <v>508.80187940485513</v>
      </c>
      <c r="G42" s="21">
        <f t="shared" si="2"/>
        <v>0.001965401545233478</v>
      </c>
    </row>
    <row r="43" spans="1:7" ht="15.75" customHeight="1">
      <c r="A43" s="18">
        <f>POWER(F43,G35)</f>
        <v>5.509464924173516</v>
      </c>
      <c r="B43" s="12" t="s">
        <v>136</v>
      </c>
      <c r="C43" s="7" t="s">
        <v>60</v>
      </c>
      <c r="D43" s="6">
        <f>(POWER(4,5))*10-(D39)</f>
        <v>10200</v>
      </c>
      <c r="E43" s="3" t="s">
        <v>4</v>
      </c>
      <c r="F43" s="4">
        <f>D35/D43</f>
        <v>254.8</v>
      </c>
      <c r="G43" s="21">
        <f t="shared" si="2"/>
        <v>0.003924646781789639</v>
      </c>
    </row>
    <row r="44" spans="1:7" ht="15.75" customHeight="1">
      <c r="A44" s="18">
        <f>POWER(F44,G35)</f>
        <v>3.2805054133379694</v>
      </c>
      <c r="B44" s="2" t="s">
        <v>19</v>
      </c>
      <c r="C44" s="7" t="s">
        <v>5</v>
      </c>
      <c r="D44" s="6">
        <f>13*(COMBIN(4,3))*(48*44/2)</f>
        <v>54912</v>
      </c>
      <c r="E44" s="3" t="s">
        <v>4</v>
      </c>
      <c r="F44" s="9">
        <f>D35/D44</f>
        <v>47.32954545454545</v>
      </c>
      <c r="G44" s="21">
        <f t="shared" si="2"/>
        <v>0.02112845138055222</v>
      </c>
    </row>
    <row r="45" spans="1:7" ht="15.75" customHeight="1">
      <c r="A45" s="18">
        <f>POWER(F45,G35)</f>
        <v>2.5554567974322326</v>
      </c>
      <c r="B45" s="2" t="s">
        <v>6</v>
      </c>
      <c r="C45" s="7" t="s">
        <v>11</v>
      </c>
      <c r="D45" s="6">
        <f>(13*(COMBIN(4,2))*12*(COMBIN(4,2))/2)*44</f>
        <v>123552</v>
      </c>
      <c r="E45" s="3" t="s">
        <v>4</v>
      </c>
      <c r="F45" s="9">
        <f>D35/D45</f>
        <v>21.035353535353536</v>
      </c>
      <c r="G45" s="21">
        <f t="shared" si="2"/>
        <v>0.0475390156062425</v>
      </c>
    </row>
    <row r="46" spans="1:7" ht="15.75" customHeight="1">
      <c r="A46" s="18">
        <f>POWER(F46,G35)</f>
        <v>1.3038376571494819</v>
      </c>
      <c r="B46" s="2" t="s">
        <v>7</v>
      </c>
      <c r="C46" s="7" t="s">
        <v>10</v>
      </c>
      <c r="D46" s="6">
        <f>13*(COMBIN(4,2))*(48*44*40/3/2)</f>
        <v>1098240</v>
      </c>
      <c r="E46" s="3" t="s">
        <v>4</v>
      </c>
      <c r="F46" s="5">
        <f>D35/D46</f>
        <v>2.366477272727273</v>
      </c>
      <c r="G46" s="22">
        <f t="shared" si="2"/>
        <v>0.42256902761104437</v>
      </c>
    </row>
    <row r="47" spans="1:7" ht="15.75" customHeight="1">
      <c r="A47" s="18">
        <f>POWER(F47,G35)</f>
        <v>1.2370937880373039</v>
      </c>
      <c r="B47" s="2" t="s">
        <v>127</v>
      </c>
      <c r="C47" s="7" t="s">
        <v>61</v>
      </c>
      <c r="D47" s="6">
        <f>52*48*44*40*36/5/4/3/2-D39-D42-D43</f>
        <v>1302540</v>
      </c>
      <c r="E47" s="3" t="s">
        <v>4</v>
      </c>
      <c r="F47" s="5">
        <f>D35/D47</f>
        <v>1.9953014878621769</v>
      </c>
      <c r="G47" s="22">
        <f t="shared" si="2"/>
        <v>0.5011773940345369</v>
      </c>
    </row>
    <row r="48" spans="1:9" s="15" customFormat="1" ht="18" customHeight="1">
      <c r="A48" s="33"/>
      <c r="B48" s="33"/>
      <c r="C48" s="33"/>
      <c r="D48" s="30">
        <f>SUM(D39:D47)</f>
        <v>2598960</v>
      </c>
      <c r="E48" s="34"/>
      <c r="F48" s="34"/>
      <c r="G48" s="35">
        <f>SUM(G39:G47)</f>
        <v>1</v>
      </c>
      <c r="H48" s="33"/>
      <c r="I48" s="33"/>
    </row>
    <row r="49" spans="1:7" ht="24" customHeight="1">
      <c r="A49" s="58" t="s">
        <v>82</v>
      </c>
      <c r="B49" s="59"/>
      <c r="C49" s="59"/>
      <c r="D49" s="59"/>
      <c r="E49" s="59"/>
      <c r="F49" s="59"/>
      <c r="G49" s="60"/>
    </row>
    <row r="50" spans="1:7" ht="18" customHeight="1">
      <c r="A50" s="54" t="s">
        <v>3</v>
      </c>
      <c r="B50" s="55"/>
      <c r="C50" s="16" t="s">
        <v>52</v>
      </c>
      <c r="D50" s="17">
        <f>COMBIN(52,6)</f>
        <v>20358520</v>
      </c>
      <c r="E50" s="56" t="s">
        <v>93</v>
      </c>
      <c r="F50" s="57"/>
      <c r="G50" s="19">
        <v>0.257</v>
      </c>
    </row>
    <row r="51" spans="1:9" ht="6" customHeight="1">
      <c r="A51" s="39"/>
      <c r="B51" s="39"/>
      <c r="C51" s="39"/>
      <c r="D51" s="39"/>
      <c r="E51" s="39"/>
      <c r="F51" s="39"/>
      <c r="G51" s="39"/>
      <c r="H51" s="39"/>
      <c r="I51" s="39"/>
    </row>
    <row r="52" spans="1:7" ht="15.75" customHeight="1">
      <c r="A52" s="13" t="s">
        <v>29</v>
      </c>
      <c r="B52" s="14" t="s">
        <v>30</v>
      </c>
      <c r="C52" s="13" t="s">
        <v>0</v>
      </c>
      <c r="D52" s="13" t="s">
        <v>2</v>
      </c>
      <c r="E52" s="49" t="s">
        <v>1</v>
      </c>
      <c r="F52" s="50"/>
      <c r="G52" s="13" t="s">
        <v>28</v>
      </c>
    </row>
    <row r="53" spans="1:8" ht="3" customHeight="1">
      <c r="A53" s="40"/>
      <c r="B53" s="41"/>
      <c r="C53" s="41"/>
      <c r="D53" s="41"/>
      <c r="E53" s="41"/>
      <c r="F53" s="41"/>
      <c r="G53" s="40"/>
      <c r="H53" s="39"/>
    </row>
    <row r="54" spans="1:7" ht="15.75" customHeight="1">
      <c r="A54" s="18">
        <f>POWER(F54,G50)</f>
        <v>30.08694079768359</v>
      </c>
      <c r="B54" s="12" t="s">
        <v>128</v>
      </c>
      <c r="C54" s="7" t="s">
        <v>12</v>
      </c>
      <c r="D54" s="6">
        <f>9*4</f>
        <v>36</v>
      </c>
      <c r="E54" s="3" t="s">
        <v>4</v>
      </c>
      <c r="F54" s="4">
        <f>D50/D54</f>
        <v>565514.4444444445</v>
      </c>
      <c r="G54" s="21">
        <f aca="true" t="shared" si="3" ref="G54:G65">1/F54</f>
        <v>1.7683014285910763E-06</v>
      </c>
    </row>
    <row r="55" spans="1:7" ht="15.75" customHeight="1">
      <c r="A55" s="18">
        <f>POWER(F55,G50)</f>
        <v>13.02356497357874</v>
      </c>
      <c r="B55" s="8" t="s">
        <v>88</v>
      </c>
      <c r="C55" s="7" t="s">
        <v>13</v>
      </c>
      <c r="D55" s="6">
        <f>13*(COMBIN(4,4))*12*(COMBIN(4,2))</f>
        <v>936</v>
      </c>
      <c r="E55" s="3" t="s">
        <v>4</v>
      </c>
      <c r="F55" s="4">
        <f>D50/D55</f>
        <v>21750.555555555555</v>
      </c>
      <c r="G55" s="21">
        <f t="shared" si="3"/>
        <v>4.5975837143367986E-05</v>
      </c>
    </row>
    <row r="56" spans="1:7" ht="15.75" customHeight="1">
      <c r="A56" s="18">
        <f>POWER(F56,G50)</f>
        <v>12.095410875512625</v>
      </c>
      <c r="B56" s="8" t="s">
        <v>14</v>
      </c>
      <c r="C56" s="7" t="s">
        <v>15</v>
      </c>
      <c r="D56" s="6">
        <f>13*(COMBIN(4,3))*12*(COMBIN(4,3))/2</f>
        <v>1248</v>
      </c>
      <c r="E56" s="3" t="s">
        <v>4</v>
      </c>
      <c r="F56" s="4">
        <f>D50/D56</f>
        <v>16312.916666666666</v>
      </c>
      <c r="G56" s="21">
        <f t="shared" si="3"/>
        <v>6.130111619115731E-05</v>
      </c>
    </row>
    <row r="57" spans="1:7" ht="15.75" customHeight="1">
      <c r="A57" s="18">
        <f>POWER(F57,G50)</f>
        <v>7.815096436224511</v>
      </c>
      <c r="B57" s="12" t="s">
        <v>135</v>
      </c>
      <c r="C57" s="7" t="s">
        <v>62</v>
      </c>
      <c r="D57" s="6">
        <f>(COMBIN(13,6))*4-(D54)</f>
        <v>6828</v>
      </c>
      <c r="E57" s="3" t="s">
        <v>4</v>
      </c>
      <c r="F57" s="4">
        <f>D50/D57</f>
        <v>2981.6227299355596</v>
      </c>
      <c r="G57" s="21">
        <f t="shared" si="3"/>
        <v>0.0003353878376227741</v>
      </c>
    </row>
    <row r="58" spans="1:7" ht="15.75" customHeight="1">
      <c r="A58" s="18">
        <f>POWER(F58,G50)</f>
        <v>6.531045443814265</v>
      </c>
      <c r="B58" s="8" t="s">
        <v>46</v>
      </c>
      <c r="C58" s="7" t="s">
        <v>16</v>
      </c>
      <c r="D58" s="6">
        <f>13*(COMBIN(4,4))*(48*44/2)</f>
        <v>13728</v>
      </c>
      <c r="E58" s="3" t="s">
        <v>4</v>
      </c>
      <c r="F58" s="4">
        <f>D50/D58</f>
        <v>1482.9924242424242</v>
      </c>
      <c r="G58" s="21">
        <f t="shared" si="3"/>
        <v>0.0006743122781027305</v>
      </c>
    </row>
    <row r="59" spans="1:7" ht="15.75" customHeight="1">
      <c r="A59" s="18">
        <f>POWER(F59,G50)</f>
        <v>5.0680395293357074</v>
      </c>
      <c r="B59" s="12" t="s">
        <v>136</v>
      </c>
      <c r="C59" s="7" t="s">
        <v>63</v>
      </c>
      <c r="D59" s="6">
        <f>(POWER(4,6))*9-(D54)</f>
        <v>36828</v>
      </c>
      <c r="E59" s="3" t="s">
        <v>4</v>
      </c>
      <c r="F59" s="4">
        <f>D50/D59</f>
        <v>552.8000434452048</v>
      </c>
      <c r="G59" s="21">
        <f t="shared" si="3"/>
        <v>0.001808972361448671</v>
      </c>
    </row>
    <row r="60" spans="1:7" ht="15.75" customHeight="1">
      <c r="A60" s="18">
        <f>POWER(F60,G50)</f>
        <v>4.437180437375046</v>
      </c>
      <c r="B60" s="8" t="s">
        <v>17</v>
      </c>
      <c r="C60" s="7" t="s">
        <v>18</v>
      </c>
      <c r="D60" s="6">
        <f>13*(COMBIN(4,2))*12*(COMBIN(4,2))*11*(COMBIN(4,2))/3/2</f>
        <v>61776</v>
      </c>
      <c r="E60" s="3" t="s">
        <v>4</v>
      </c>
      <c r="F60" s="4">
        <f>D50/D60</f>
        <v>329.55387205387206</v>
      </c>
      <c r="G60" s="21">
        <f t="shared" si="3"/>
        <v>0.003034405251462287</v>
      </c>
    </row>
    <row r="61" spans="1:7" ht="15.75" customHeight="1">
      <c r="A61" s="18">
        <f>POWER(F61,G50)</f>
        <v>3.4485229884069915</v>
      </c>
      <c r="B61" s="8" t="s">
        <v>87</v>
      </c>
      <c r="C61" s="7" t="s">
        <v>31</v>
      </c>
      <c r="D61" s="6">
        <f>13*(COMBIN(4,3))*12*(COMBIN(4,2))*44</f>
        <v>164736</v>
      </c>
      <c r="E61" s="3" t="s">
        <v>4</v>
      </c>
      <c r="F61" s="4">
        <f>D50/D61</f>
        <v>123.58270202020202</v>
      </c>
      <c r="G61" s="21">
        <f t="shared" si="3"/>
        <v>0.008091747337232766</v>
      </c>
    </row>
    <row r="62" spans="1:7" ht="15.75" customHeight="1">
      <c r="A62" s="18">
        <f>POWER(F62,G50)</f>
        <v>2.350412199318338</v>
      </c>
      <c r="B62" s="2" t="s">
        <v>19</v>
      </c>
      <c r="C62" s="7" t="s">
        <v>20</v>
      </c>
      <c r="D62" s="6">
        <f>13*(COMBIN(4,3))*(48*44*40/3/2)</f>
        <v>732160</v>
      </c>
      <c r="E62" s="3" t="s">
        <v>4</v>
      </c>
      <c r="F62" s="10">
        <f>D50/D62</f>
        <v>27.806107954545453</v>
      </c>
      <c r="G62" s="21">
        <f t="shared" si="3"/>
        <v>0.03596332149881229</v>
      </c>
    </row>
    <row r="63" spans="1:7" ht="15.75" customHeight="1">
      <c r="A63" s="18">
        <f>POWER(F63,G50)</f>
        <v>1.7194029670511937</v>
      </c>
      <c r="B63" s="2" t="s">
        <v>6</v>
      </c>
      <c r="C63" s="7" t="s">
        <v>21</v>
      </c>
      <c r="D63" s="6">
        <f>(13*(COMBIN(4,2))*12*(COMBIN(4,2))/2)*(44*40/2)</f>
        <v>2471040</v>
      </c>
      <c r="E63" s="3" t="s">
        <v>4</v>
      </c>
      <c r="F63" s="5">
        <f>D50/D63</f>
        <v>8.238846801346801</v>
      </c>
      <c r="G63" s="22">
        <f t="shared" si="3"/>
        <v>0.12137621005849149</v>
      </c>
    </row>
    <row r="64" spans="1:7" ht="15.75" customHeight="1">
      <c r="A64" s="18">
        <f>POWER(F64,G50)</f>
        <v>1.3164255525575341</v>
      </c>
      <c r="B64" s="2" t="s">
        <v>127</v>
      </c>
      <c r="C64" s="7" t="s">
        <v>64</v>
      </c>
      <c r="D64" s="6">
        <f>52*48*44*40*36*32/6/5/4/3/2-(D54)-(D57)-(D59)</f>
        <v>6985044</v>
      </c>
      <c r="E64" s="3" t="s">
        <v>4</v>
      </c>
      <c r="F64" s="5">
        <f>D50/D64</f>
        <v>2.9145872237884256</v>
      </c>
      <c r="G64" s="22">
        <f t="shared" si="3"/>
        <v>0.34310175788809794</v>
      </c>
    </row>
    <row r="65" spans="1:7" ht="15.75" customHeight="1">
      <c r="A65" s="18">
        <f>POWER(F65,G50)</f>
        <v>1.2040603468278817</v>
      </c>
      <c r="B65" s="2" t="s">
        <v>7</v>
      </c>
      <c r="C65" s="7" t="s">
        <v>22</v>
      </c>
      <c r="D65" s="6">
        <f>13*(COMBIN(4,2))*(48*44*40*36/4/3/2)</f>
        <v>9884160</v>
      </c>
      <c r="E65" s="3" t="s">
        <v>4</v>
      </c>
      <c r="F65" s="5">
        <f>D50/D65</f>
        <v>2.0597117003367003</v>
      </c>
      <c r="G65" s="22">
        <f t="shared" si="3"/>
        <v>0.48550484023396595</v>
      </c>
    </row>
    <row r="66" spans="1:9" s="15" customFormat="1" ht="18" customHeight="1">
      <c r="A66" s="33"/>
      <c r="B66" s="33"/>
      <c r="C66" s="33"/>
      <c r="D66" s="30">
        <f>SUM(D54:D65)</f>
        <v>20358520</v>
      </c>
      <c r="E66" s="34"/>
      <c r="F66" s="34"/>
      <c r="G66" s="35">
        <f>SUM(G54:G65)</f>
        <v>1</v>
      </c>
      <c r="H66" s="33"/>
      <c r="I66" s="33"/>
    </row>
    <row r="67" spans="1:7" ht="24" customHeight="1">
      <c r="A67" s="58" t="s">
        <v>83</v>
      </c>
      <c r="B67" s="59"/>
      <c r="C67" s="59"/>
      <c r="D67" s="59"/>
      <c r="E67" s="59"/>
      <c r="F67" s="59"/>
      <c r="G67" s="60"/>
    </row>
    <row r="68" spans="1:7" ht="18" customHeight="1">
      <c r="A68" s="54" t="s">
        <v>3</v>
      </c>
      <c r="B68" s="55"/>
      <c r="C68" s="16" t="s">
        <v>66</v>
      </c>
      <c r="D68" s="17">
        <f>COMBIN(52,7)</f>
        <v>133784560.00000003</v>
      </c>
      <c r="E68" s="56" t="s">
        <v>93</v>
      </c>
      <c r="F68" s="57"/>
      <c r="G68" s="19">
        <v>0.223</v>
      </c>
    </row>
    <row r="69" spans="1:9" ht="6" customHeight="1">
      <c r="A69" s="39"/>
      <c r="B69" s="39"/>
      <c r="C69" s="39"/>
      <c r="D69" s="39"/>
      <c r="E69" s="39"/>
      <c r="F69" s="39"/>
      <c r="G69" s="39"/>
      <c r="H69" s="39"/>
      <c r="I69" s="39"/>
    </row>
    <row r="70" spans="1:7" ht="15.75" customHeight="1">
      <c r="A70" s="13" t="s">
        <v>29</v>
      </c>
      <c r="B70" s="14" t="s">
        <v>30</v>
      </c>
      <c r="C70" s="13" t="s">
        <v>0</v>
      </c>
      <c r="D70" s="13" t="s">
        <v>2</v>
      </c>
      <c r="E70" s="49" t="s">
        <v>1</v>
      </c>
      <c r="F70" s="50"/>
      <c r="G70" s="13" t="s">
        <v>28</v>
      </c>
    </row>
    <row r="71" spans="1:8" ht="3" customHeight="1">
      <c r="A71" s="40"/>
      <c r="B71" s="41"/>
      <c r="C71" s="41"/>
      <c r="D71" s="41"/>
      <c r="E71" s="41"/>
      <c r="F71" s="41"/>
      <c r="G71" s="40"/>
      <c r="H71" s="39"/>
    </row>
    <row r="72" spans="1:7" ht="15.75" customHeight="1">
      <c r="A72" s="18">
        <f>POWER(F72,G68)</f>
        <v>29.9598815255191</v>
      </c>
      <c r="B72" s="12" t="s">
        <v>128</v>
      </c>
      <c r="C72" s="7" t="s">
        <v>67</v>
      </c>
      <c r="D72" s="6">
        <f>8*4</f>
        <v>32</v>
      </c>
      <c r="E72" s="3" t="s">
        <v>4</v>
      </c>
      <c r="F72" s="4">
        <f>D68/D72</f>
        <v>4180767.500000001</v>
      </c>
      <c r="G72" s="21">
        <f aca="true" t="shared" si="4" ref="G72:G85">1/F72</f>
        <v>2.391905314036238E-07</v>
      </c>
    </row>
    <row r="73" spans="1:7" ht="15.75" customHeight="1">
      <c r="A73" s="18">
        <f>POWER(F73,G68)</f>
        <v>15.447648303574178</v>
      </c>
      <c r="B73" s="12" t="s">
        <v>89</v>
      </c>
      <c r="C73" s="7" t="s">
        <v>69</v>
      </c>
      <c r="D73" s="6">
        <f>13*(COMBIN(4,4))*12*(COMBIN(4,3))</f>
        <v>624</v>
      </c>
      <c r="E73" s="3" t="s">
        <v>4</v>
      </c>
      <c r="F73" s="4">
        <f>D68/D73</f>
        <v>214398.33333333337</v>
      </c>
      <c r="G73" s="21">
        <f t="shared" si="4"/>
        <v>4.664215362370664E-06</v>
      </c>
    </row>
    <row r="74" spans="1:7" ht="15.75" customHeight="1">
      <c r="A74" s="18">
        <f>POWER(F74,G68)</f>
        <v>9.059085624686697</v>
      </c>
      <c r="B74" s="12" t="s">
        <v>135</v>
      </c>
      <c r="C74" s="7" t="s">
        <v>68</v>
      </c>
      <c r="D74" s="6">
        <f>(COMBIN(13,7))*4-(D72)</f>
        <v>6832</v>
      </c>
      <c r="E74" s="3" t="s">
        <v>4</v>
      </c>
      <c r="F74" s="4">
        <f>D68/D74</f>
        <v>19582.049180327875</v>
      </c>
      <c r="G74" s="21">
        <f t="shared" si="4"/>
        <v>5.106717845467368E-05</v>
      </c>
    </row>
    <row r="75" spans="1:7" ht="15.75" customHeight="1">
      <c r="A75" s="18">
        <f>POWER(F75,G68)</f>
        <v>6.068817471935523</v>
      </c>
      <c r="B75" s="2" t="s">
        <v>88</v>
      </c>
      <c r="C75" s="7" t="s">
        <v>71</v>
      </c>
      <c r="D75" s="6">
        <f>13*(COMBIN(4,4))*12*(COMBIN(4,2))*44</f>
        <v>41184</v>
      </c>
      <c r="E75" s="3" t="s">
        <v>4</v>
      </c>
      <c r="F75" s="4">
        <f>D68/D75</f>
        <v>3248.4595959595968</v>
      </c>
      <c r="G75" s="21">
        <f t="shared" si="4"/>
        <v>0.0003078382139164638</v>
      </c>
    </row>
    <row r="76" spans="1:7" ht="15.75" customHeight="1">
      <c r="A76" s="18">
        <f>POWER(F76,G68)</f>
        <v>5.691709650180931</v>
      </c>
      <c r="B76" s="2" t="s">
        <v>14</v>
      </c>
      <c r="C76" s="7" t="s">
        <v>72</v>
      </c>
      <c r="D76" s="6">
        <f>(13*(COMBIN(4,3))*12*(COMBIN(4,3))/2)*44</f>
        <v>54912</v>
      </c>
      <c r="E76" s="3" t="s">
        <v>4</v>
      </c>
      <c r="F76" s="4">
        <f>D68/D76</f>
        <v>2436.3446969696975</v>
      </c>
      <c r="G76" s="21">
        <f t="shared" si="4"/>
        <v>0.00041045095188861847</v>
      </c>
    </row>
    <row r="77" spans="1:7" ht="15.75" customHeight="1">
      <c r="A77" s="18">
        <f>POWER(F77,G68)</f>
        <v>4.750135911346919</v>
      </c>
      <c r="B77" s="12" t="s">
        <v>90</v>
      </c>
      <c r="C77" s="7" t="s">
        <v>74</v>
      </c>
      <c r="D77" s="6">
        <f>13*(COMBIN(4,3))*(12*(COMBIN(4,2))*11*(COMBIN(4,2))/2)</f>
        <v>123552</v>
      </c>
      <c r="E77" s="3" t="s">
        <v>4</v>
      </c>
      <c r="F77" s="4">
        <f>D68/D77</f>
        <v>1082.8198653198656</v>
      </c>
      <c r="G77" s="21">
        <f t="shared" si="4"/>
        <v>0.0009235146417493914</v>
      </c>
    </row>
    <row r="78" spans="1:7" ht="15.75" customHeight="1">
      <c r="A78" s="18">
        <f>POWER(F78,G68)</f>
        <v>4.688214465775111</v>
      </c>
      <c r="B78" s="12" t="s">
        <v>136</v>
      </c>
      <c r="C78" s="7" t="s">
        <v>70</v>
      </c>
      <c r="D78" s="6">
        <f>(POWER(4,7))*8-(D72)</f>
        <v>131040</v>
      </c>
      <c r="E78" s="3" t="s">
        <v>4</v>
      </c>
      <c r="F78" s="4">
        <f>D68/D78</f>
        <v>1020.9444444444447</v>
      </c>
      <c r="G78" s="21">
        <f t="shared" si="4"/>
        <v>0.0009794852260978394</v>
      </c>
    </row>
    <row r="79" spans="1:7" ht="15.75" customHeight="1">
      <c r="A79" s="18">
        <f>POWER(F79,G68)</f>
        <v>4.351517928897838</v>
      </c>
      <c r="B79" s="2" t="s">
        <v>46</v>
      </c>
      <c r="C79" s="7" t="s">
        <v>73</v>
      </c>
      <c r="D79" s="6">
        <f>13*(COMBIN(4,4))*(48*44*40/3/2)</f>
        <v>183040</v>
      </c>
      <c r="E79" s="3" t="s">
        <v>4</v>
      </c>
      <c r="F79" s="4">
        <f>D68/D79</f>
        <v>730.9034090909092</v>
      </c>
      <c r="G79" s="21">
        <f t="shared" si="4"/>
        <v>0.0013681698396287281</v>
      </c>
    </row>
    <row r="80" spans="1:7" ht="15.75" customHeight="1">
      <c r="A80" s="18">
        <f>POWER(F80,G68)</f>
        <v>2.435433899686476</v>
      </c>
      <c r="B80" s="2" t="s">
        <v>17</v>
      </c>
      <c r="C80" s="7" t="s">
        <v>77</v>
      </c>
      <c r="D80" s="6">
        <f>(13*(COMBIN(4,2))*12*(COMBIN(4,2))*11*(COMBIN(4,2))/3/2)*40</f>
        <v>2471040</v>
      </c>
      <c r="E80" s="3" t="s">
        <v>4</v>
      </c>
      <c r="F80" s="10">
        <f>D68/D80</f>
        <v>54.14099326599328</v>
      </c>
      <c r="G80" s="21">
        <f t="shared" si="4"/>
        <v>0.018470292834987828</v>
      </c>
    </row>
    <row r="81" spans="1:7" ht="15.75" customHeight="1">
      <c r="A81" s="18">
        <f>POWER(F81,G68)</f>
        <v>2.284099446609714</v>
      </c>
      <c r="B81" s="2" t="s">
        <v>87</v>
      </c>
      <c r="C81" s="7" t="s">
        <v>75</v>
      </c>
      <c r="D81" s="6">
        <f>13*(COMBIN(4,3))*12*(COMBIN(4,2))*(44*40/2)</f>
        <v>3294720</v>
      </c>
      <c r="E81" s="3" t="s">
        <v>4</v>
      </c>
      <c r="F81" s="10">
        <f>D68/D81</f>
        <v>40.605744949494955</v>
      </c>
      <c r="G81" s="21">
        <f t="shared" si="4"/>
        <v>0.02462705711331711</v>
      </c>
    </row>
    <row r="82" spans="1:7" ht="15.75" customHeight="1">
      <c r="A82" s="18">
        <f>POWER(F82,G68)</f>
        <v>1.9569751887520794</v>
      </c>
      <c r="B82" s="2" t="s">
        <v>19</v>
      </c>
      <c r="C82" s="7" t="s">
        <v>76</v>
      </c>
      <c r="D82" s="6">
        <f>13*(COMBIN(4,3))*(48*44*40*36/4/3/2)</f>
        <v>6589440</v>
      </c>
      <c r="E82" s="3" t="s">
        <v>4</v>
      </c>
      <c r="F82" s="10">
        <f>D68/D82</f>
        <v>20.302872474747478</v>
      </c>
      <c r="G82" s="21">
        <f t="shared" si="4"/>
        <v>0.04925411422663422</v>
      </c>
    </row>
    <row r="83" spans="1:7" ht="15.75" customHeight="1">
      <c r="A83" s="18">
        <f>POWER(F83,G68)</f>
        <v>1.417593598832353</v>
      </c>
      <c r="B83" s="2" t="s">
        <v>127</v>
      </c>
      <c r="C83" s="7" t="s">
        <v>85</v>
      </c>
      <c r="D83" s="6">
        <f>52*48*44*40*36*32*28/7/6/5/4/3/2-(D72)-(D74)-(D78)</f>
        <v>27977040</v>
      </c>
      <c r="E83" s="3" t="s">
        <v>4</v>
      </c>
      <c r="F83" s="5">
        <f>D68/D83</f>
        <v>4.781941191777259</v>
      </c>
      <c r="G83" s="22">
        <f t="shared" si="4"/>
        <v>0.20912009577188873</v>
      </c>
    </row>
    <row r="84" spans="1:7" ht="15.75" customHeight="1">
      <c r="A84" s="18">
        <f>POWER(F84,G68)</f>
        <v>1.3993260818902993</v>
      </c>
      <c r="B84" s="2" t="s">
        <v>6</v>
      </c>
      <c r="C84" s="7" t="s">
        <v>78</v>
      </c>
      <c r="D84" s="6">
        <f>(13*(COMBIN(4,2))*12*(COMBIN(4,2))/2)*(44*40*36/3/2)</f>
        <v>29652480</v>
      </c>
      <c r="E84" s="3" t="s">
        <v>4</v>
      </c>
      <c r="F84" s="5">
        <f>D68/D84</f>
        <v>4.511749438832773</v>
      </c>
      <c r="G84" s="22">
        <f t="shared" si="4"/>
        <v>0.22164351401985397</v>
      </c>
    </row>
    <row r="85" spans="1:7" ht="15.75" customHeight="1">
      <c r="A85" s="18">
        <f>POWER(F85,G68)</f>
        <v>1.1817859830358965</v>
      </c>
      <c r="B85" s="2" t="s">
        <v>7</v>
      </c>
      <c r="C85" s="7" t="s">
        <v>79</v>
      </c>
      <c r="D85" s="6">
        <f>13*(COMBIN(4,2))*(48*44*40*36*32/5/4/3/2)</f>
        <v>63258624</v>
      </c>
      <c r="E85" s="3" t="s">
        <v>4</v>
      </c>
      <c r="F85" s="5">
        <f>D68/D85</f>
        <v>2.1148825494528625</v>
      </c>
      <c r="G85" s="22">
        <f t="shared" si="4"/>
        <v>0.4728394965756884</v>
      </c>
    </row>
    <row r="86" spans="4:7" s="33" customFormat="1" ht="18" customHeight="1">
      <c r="D86" s="30">
        <f>SUM(D72:D85)</f>
        <v>133784560</v>
      </c>
      <c r="E86" s="34"/>
      <c r="F86" s="34"/>
      <c r="G86" s="35">
        <f>SUM(G72:G85)</f>
        <v>0.9999999999999998</v>
      </c>
    </row>
    <row r="87" spans="1:7" ht="24" customHeight="1">
      <c r="A87" s="58" t="s">
        <v>84</v>
      </c>
      <c r="B87" s="59"/>
      <c r="C87" s="59"/>
      <c r="D87" s="59"/>
      <c r="E87" s="59"/>
      <c r="F87" s="59"/>
      <c r="G87" s="60"/>
    </row>
    <row r="88" spans="1:7" ht="18" customHeight="1">
      <c r="A88" s="54" t="s">
        <v>3</v>
      </c>
      <c r="B88" s="55"/>
      <c r="C88" s="16" t="s">
        <v>53</v>
      </c>
      <c r="D88" s="17">
        <f>COMBIN(52,8)</f>
        <v>752538150</v>
      </c>
      <c r="E88" s="56" t="s">
        <v>93</v>
      </c>
      <c r="F88" s="57"/>
      <c r="G88" s="19">
        <v>0.1995</v>
      </c>
    </row>
    <row r="89" spans="1:9" ht="6" customHeight="1">
      <c r="A89" s="39"/>
      <c r="B89" s="39"/>
      <c r="C89" s="39"/>
      <c r="D89" s="39"/>
      <c r="E89" s="39"/>
      <c r="F89" s="39"/>
      <c r="G89" s="39"/>
      <c r="H89" s="39"/>
      <c r="I89" s="39"/>
    </row>
    <row r="90" spans="1:7" ht="15.75" customHeight="1">
      <c r="A90" s="13" t="s">
        <v>29</v>
      </c>
      <c r="B90" s="14" t="s">
        <v>30</v>
      </c>
      <c r="C90" s="13" t="s">
        <v>0</v>
      </c>
      <c r="D90" s="13" t="s">
        <v>2</v>
      </c>
      <c r="E90" s="49" t="s">
        <v>1</v>
      </c>
      <c r="F90" s="50"/>
      <c r="G90" s="13" t="s">
        <v>28</v>
      </c>
    </row>
    <row r="91" spans="1:8" ht="3" customHeight="1">
      <c r="A91" s="40"/>
      <c r="B91" s="41"/>
      <c r="C91" s="41"/>
      <c r="D91" s="41"/>
      <c r="E91" s="41"/>
      <c r="F91" s="41"/>
      <c r="G91" s="40"/>
      <c r="H91" s="39"/>
    </row>
    <row r="92" spans="1:7" ht="15.75" customHeight="1">
      <c r="A92" s="18">
        <f>POWER(F92,G88)</f>
        <v>30.350050131697316</v>
      </c>
      <c r="B92" s="12" t="s">
        <v>128</v>
      </c>
      <c r="C92" s="7" t="s">
        <v>32</v>
      </c>
      <c r="D92" s="6">
        <f>7*4</f>
        <v>28</v>
      </c>
      <c r="E92" s="3" t="s">
        <v>4</v>
      </c>
      <c r="F92" s="4">
        <f>D88/D92</f>
        <v>26876362.5</v>
      </c>
      <c r="G92" s="21">
        <f aca="true" t="shared" si="5" ref="G92:G109">1/F92</f>
        <v>3.720741599611927E-08</v>
      </c>
    </row>
    <row r="93" spans="1:7" ht="15.75" customHeight="1">
      <c r="A93" s="18">
        <f>POWER(F93,G88)</f>
        <v>24.739707851541045</v>
      </c>
      <c r="B93" s="12" t="s">
        <v>33</v>
      </c>
      <c r="C93" s="7" t="s">
        <v>35</v>
      </c>
      <c r="D93" s="6">
        <f>13*(COMBIN(4,4))*12*(COMBIN(4,4))/2</f>
        <v>78</v>
      </c>
      <c r="E93" s="3" t="s">
        <v>4</v>
      </c>
      <c r="F93" s="4">
        <f>D88/D93</f>
        <v>9647925</v>
      </c>
      <c r="G93" s="21">
        <f t="shared" si="5"/>
        <v>1.0364923027490367E-07</v>
      </c>
    </row>
    <row r="94" spans="1:7" ht="15.75" customHeight="1">
      <c r="A94" s="18">
        <f>POWER(F94,G88)</f>
        <v>10.736632370019658</v>
      </c>
      <c r="B94" s="12" t="s">
        <v>135</v>
      </c>
      <c r="C94" s="7" t="s">
        <v>56</v>
      </c>
      <c r="D94" s="6">
        <f>(COMBIN(13,8))*4-(D92)</f>
        <v>5120</v>
      </c>
      <c r="E94" s="3" t="s">
        <v>4</v>
      </c>
      <c r="F94" s="4">
        <f>D88/D94</f>
        <v>146980.107421875</v>
      </c>
      <c r="G94" s="21">
        <f t="shared" si="5"/>
        <v>6.803641782147523E-06</v>
      </c>
    </row>
    <row r="95" spans="1:7" ht="15.75" customHeight="1">
      <c r="A95" s="18">
        <f>POWER(F95,G88)</f>
        <v>7.679966142440314</v>
      </c>
      <c r="B95" s="12" t="s">
        <v>89</v>
      </c>
      <c r="C95" s="7" t="s">
        <v>36</v>
      </c>
      <c r="D95" s="6">
        <f>13*(COMBIN(4,4))*12*(COMBIN(4,3))*44</f>
        <v>27456</v>
      </c>
      <c r="E95" s="3" t="s">
        <v>4</v>
      </c>
      <c r="F95" s="4">
        <f>D88/D95</f>
        <v>27408.877840909092</v>
      </c>
      <c r="G95" s="21">
        <f t="shared" si="5"/>
        <v>3.6484529056766094E-05</v>
      </c>
    </row>
    <row r="96" spans="1:7" ht="15.75" customHeight="1">
      <c r="A96" s="18">
        <f>POWER(F96,G88)</f>
        <v>7.501608190826866</v>
      </c>
      <c r="B96" s="12" t="s">
        <v>91</v>
      </c>
      <c r="C96" s="7" t="s">
        <v>49</v>
      </c>
      <c r="D96" s="6">
        <f>(13*(COMBIN(4,4))*(12*(COMBIN(4,2))*11*(COMBIN(4,2))/2))</f>
        <v>30888</v>
      </c>
      <c r="E96" s="3" t="s">
        <v>4</v>
      </c>
      <c r="F96" s="4">
        <f>D88/D96</f>
        <v>24363.446969696968</v>
      </c>
      <c r="G96" s="21">
        <f t="shared" si="5"/>
        <v>4.1045095188861856E-05</v>
      </c>
    </row>
    <row r="97" spans="1:7" ht="15.75" customHeight="1">
      <c r="A97" s="18">
        <f>POWER(F97,G88)</f>
        <v>6.168415433496707</v>
      </c>
      <c r="B97" s="2" t="s">
        <v>86</v>
      </c>
      <c r="C97" s="7" t="s">
        <v>48</v>
      </c>
      <c r="D97" s="6">
        <f>(13*(COMBIN(4,3))*12*(COMBIN(4,3))/2)*11*(COMBIN(4,2))</f>
        <v>82368</v>
      </c>
      <c r="E97" s="3" t="s">
        <v>4</v>
      </c>
      <c r="F97" s="4">
        <f>D88/D97</f>
        <v>9136.292613636364</v>
      </c>
      <c r="G97" s="21">
        <f t="shared" si="5"/>
        <v>0.00010945358717029827</v>
      </c>
    </row>
    <row r="98" spans="1:7" ht="15.75" customHeight="1">
      <c r="A98" s="18">
        <f>POWER(F98,G88)</f>
        <v>4.379130859839868</v>
      </c>
      <c r="B98" s="12" t="s">
        <v>136</v>
      </c>
      <c r="C98" s="7" t="s">
        <v>57</v>
      </c>
      <c r="D98" s="6">
        <f>(POWER(4,8))*7-(D92)</f>
        <v>458724</v>
      </c>
      <c r="E98" s="3" t="s">
        <v>4</v>
      </c>
      <c r="F98" s="4">
        <f>D88/D98</f>
        <v>1640.5031129829702</v>
      </c>
      <c r="G98" s="21">
        <f t="shared" si="5"/>
        <v>0.0006095690962644219</v>
      </c>
    </row>
    <row r="99" spans="1:7" ht="15.75" customHeight="1">
      <c r="A99" s="18">
        <f>POWER(F99,G88)</f>
        <v>3.896490440612813</v>
      </c>
      <c r="B99" s="2" t="s">
        <v>88</v>
      </c>
      <c r="C99" s="7" t="s">
        <v>37</v>
      </c>
      <c r="D99" s="6">
        <f>13*(COMBIN(4,4))*12*(COMBIN(4,2))*(44*40/2)</f>
        <v>823680</v>
      </c>
      <c r="E99" s="3" t="s">
        <v>4</v>
      </c>
      <c r="F99" s="4">
        <f>D88/D99</f>
        <v>913.6292613636364</v>
      </c>
      <c r="G99" s="21">
        <f t="shared" si="5"/>
        <v>0.0010945358717029828</v>
      </c>
    </row>
    <row r="100" spans="1:7" ht="15.75" customHeight="1">
      <c r="A100" s="18">
        <f>POWER(F100,G88)</f>
        <v>3.8059991492998724</v>
      </c>
      <c r="B100" s="2" t="s">
        <v>34</v>
      </c>
      <c r="C100" s="7" t="s">
        <v>38</v>
      </c>
      <c r="D100" s="6">
        <f>13*(COMBIN(4,2))*12*(COMBIN(4,2))*11*(COMBIN(4,2))*10*(COMBIN(4,2))/4/3/2</f>
        <v>926640</v>
      </c>
      <c r="E100" s="3" t="s">
        <v>4</v>
      </c>
      <c r="F100" s="4">
        <f>D88/D100</f>
        <v>812.114898989899</v>
      </c>
      <c r="G100" s="21">
        <f t="shared" si="5"/>
        <v>0.0012313528556658557</v>
      </c>
    </row>
    <row r="101" spans="1:7" ht="15.75" customHeight="1">
      <c r="A101" s="18">
        <f>POWER(F101,G88)</f>
        <v>3.6791571385782724</v>
      </c>
      <c r="B101" s="2" t="s">
        <v>14</v>
      </c>
      <c r="C101" s="7" t="s">
        <v>39</v>
      </c>
      <c r="D101" s="6">
        <f>(13*(COMBIN(4,3))*12*(COMBIN(4,3))/2)*(44*40/2)</f>
        <v>1098240</v>
      </c>
      <c r="E101" s="3" t="s">
        <v>4</v>
      </c>
      <c r="F101" s="4">
        <f>D88/D101</f>
        <v>685.2219460227273</v>
      </c>
      <c r="G101" s="21">
        <f t="shared" si="5"/>
        <v>0.0014593811622706438</v>
      </c>
    </row>
    <row r="102" spans="1:7" ht="15.75" customHeight="1">
      <c r="A102" s="18">
        <f>POWER(F102,G88)</f>
        <v>3.393267761179545</v>
      </c>
      <c r="B102" s="2" t="s">
        <v>46</v>
      </c>
      <c r="C102" s="7" t="s">
        <v>40</v>
      </c>
      <c r="D102" s="6">
        <f>13*(COMBIN(4,4))*(48*44*40*36/4/3/2)</f>
        <v>1647360</v>
      </c>
      <c r="E102" s="3" t="s">
        <v>4</v>
      </c>
      <c r="F102" s="4">
        <f>D88/D102</f>
        <v>456.8146306818182</v>
      </c>
      <c r="G102" s="21">
        <f t="shared" si="5"/>
        <v>0.0021890717434059656</v>
      </c>
    </row>
    <row r="103" spans="1:7" ht="15.75" customHeight="1">
      <c r="A103" s="18">
        <f>POWER(F103,G88)</f>
        <v>2.725413737487631</v>
      </c>
      <c r="B103" s="12" t="s">
        <v>90</v>
      </c>
      <c r="C103" s="7" t="s">
        <v>47</v>
      </c>
      <c r="D103" s="6">
        <f>13*(COMBIN(4,3))*(12*(COMBIN(4,2))*11*(COMBIN(4,2))/2)*40</f>
        <v>4942080</v>
      </c>
      <c r="E103" s="3" t="s">
        <v>4</v>
      </c>
      <c r="F103" s="4">
        <f>D88/D103</f>
        <v>152.27154356060606</v>
      </c>
      <c r="G103" s="21">
        <f t="shared" si="5"/>
        <v>0.006567215230217896</v>
      </c>
    </row>
    <row r="104" spans="1:7" ht="15.75" customHeight="1">
      <c r="A104" s="18">
        <f>POWER(F104,G88)</f>
        <v>1.799972990111135</v>
      </c>
      <c r="B104" s="2" t="s">
        <v>87</v>
      </c>
      <c r="C104" s="7" t="s">
        <v>42</v>
      </c>
      <c r="D104" s="6">
        <f>13*(COMBIN(4,3))*12*(COMBIN(4,2))*(44*40*36/3/2)</f>
        <v>39536640</v>
      </c>
      <c r="E104" s="3" t="s">
        <v>4</v>
      </c>
      <c r="F104" s="10">
        <f>D88/D104</f>
        <v>19.033942945075758</v>
      </c>
      <c r="G104" s="21">
        <f t="shared" si="5"/>
        <v>0.05253772184174317</v>
      </c>
    </row>
    <row r="105" spans="1:7" ht="15.75" customHeight="1">
      <c r="A105" s="18">
        <f>POWER(F105,G88)</f>
        <v>1.7769461135697302</v>
      </c>
      <c r="B105" s="2" t="s">
        <v>19</v>
      </c>
      <c r="C105" s="7" t="s">
        <v>43</v>
      </c>
      <c r="D105" s="6">
        <f>13*(COMBIN(4,3))*(48*44*40*36*32/5/4/3/2)</f>
        <v>42172416</v>
      </c>
      <c r="E105" s="3" t="s">
        <v>4</v>
      </c>
      <c r="F105" s="9">
        <f>D88/D105</f>
        <v>17.844321511008523</v>
      </c>
      <c r="G105" s="21">
        <f t="shared" si="5"/>
        <v>0.056040236631192716</v>
      </c>
    </row>
    <row r="106" spans="1:7" ht="15.75" customHeight="1">
      <c r="A106" s="18">
        <f>POWER(F106,G88)</f>
        <v>1.758170788184533</v>
      </c>
      <c r="B106" s="2" t="s">
        <v>17</v>
      </c>
      <c r="C106" s="7" t="s">
        <v>41</v>
      </c>
      <c r="D106" s="6">
        <f>(13*(COMBIN(4,2))*12*(COMBIN(4,2))*11*(COMBIN(4,2))/3/2)*(40*36/2)</f>
        <v>44478720</v>
      </c>
      <c r="E106" s="3" t="s">
        <v>4</v>
      </c>
      <c r="F106" s="10">
        <f>D88/D106</f>
        <v>16.919060395622896</v>
      </c>
      <c r="G106" s="21">
        <f t="shared" si="5"/>
        <v>0.059104937071961065</v>
      </c>
    </row>
    <row r="107" spans="1:7" ht="15.75" customHeight="1">
      <c r="A107" s="18">
        <f>POWER(F107,G88)</f>
        <v>1.5491611360867075</v>
      </c>
      <c r="B107" s="2" t="s">
        <v>127</v>
      </c>
      <c r="C107" s="7" t="s">
        <v>58</v>
      </c>
      <c r="D107" s="6">
        <f>52*48*44*40*36*32*28*24/8/7/6/5/4/3/2-(D92)-(D94)-(D98)</f>
        <v>83880960</v>
      </c>
      <c r="E107" s="3" t="s">
        <v>4</v>
      </c>
      <c r="F107" s="5">
        <f>D88/D107</f>
        <v>8.971501399125618</v>
      </c>
      <c r="G107" s="22">
        <f t="shared" si="5"/>
        <v>0.11146406331692287</v>
      </c>
    </row>
    <row r="108" spans="1:7" ht="15.75" customHeight="1">
      <c r="A108" s="18">
        <f>POWER(F108,G88)</f>
        <v>1.2589973436670479</v>
      </c>
      <c r="B108" s="2" t="s">
        <v>6</v>
      </c>
      <c r="C108" s="7" t="s">
        <v>44</v>
      </c>
      <c r="D108" s="6">
        <f>(13*(COMBIN(4,2))*12*(COMBIN(4,2))/2)*(44*40*36*32/4/3/2)</f>
        <v>237219840</v>
      </c>
      <c r="E108" s="3" t="s">
        <v>4</v>
      </c>
      <c r="F108" s="5">
        <f>D88/D108</f>
        <v>3.172323824179293</v>
      </c>
      <c r="G108" s="22">
        <f t="shared" si="5"/>
        <v>0.31522633105045905</v>
      </c>
    </row>
    <row r="109" spans="1:7" ht="15.75" customHeight="1">
      <c r="A109" s="18">
        <f>POWER(F109,G88)</f>
        <v>1.2052501630566521</v>
      </c>
      <c r="B109" s="2" t="s">
        <v>7</v>
      </c>
      <c r="C109" s="7" t="s">
        <v>45</v>
      </c>
      <c r="D109" s="6">
        <f>13*(COMBIN(4,2))*(48*44*40*36*32*28/6/5/4/3/2)</f>
        <v>295206912</v>
      </c>
      <c r="E109" s="3" t="s">
        <v>4</v>
      </c>
      <c r="F109" s="5">
        <f>D88/D109</f>
        <v>2.5491887872869317</v>
      </c>
      <c r="G109" s="22">
        <f t="shared" si="5"/>
        <v>0.39228165641834906</v>
      </c>
    </row>
    <row r="110" spans="4:7" s="29" customFormat="1" ht="18" customHeight="1">
      <c r="D110" s="30">
        <f>SUM(D92:D109)</f>
        <v>752538150</v>
      </c>
      <c r="E110" s="31"/>
      <c r="F110" s="31"/>
      <c r="G110" s="35">
        <f>SUM(G92:G109)</f>
        <v>1</v>
      </c>
    </row>
    <row r="111" spans="1:7" s="23" customFormat="1" ht="15.75" customHeight="1">
      <c r="A111" s="61" t="s">
        <v>151</v>
      </c>
      <c r="B111" s="62"/>
      <c r="C111" s="62"/>
      <c r="D111" s="62"/>
      <c r="E111" s="62"/>
      <c r="F111" s="62"/>
      <c r="G111" s="63"/>
    </row>
    <row r="112" spans="1:7" s="23" customFormat="1" ht="2.25" customHeight="1">
      <c r="A112" s="29"/>
      <c r="B112" s="29"/>
      <c r="C112" s="29"/>
      <c r="D112" s="30"/>
      <c r="E112" s="31"/>
      <c r="F112" s="31"/>
      <c r="G112" s="32"/>
    </row>
    <row r="113" spans="1:7" s="23" customFormat="1" ht="15.75" customHeight="1">
      <c r="A113" s="61" t="s">
        <v>126</v>
      </c>
      <c r="B113" s="62"/>
      <c r="C113" s="62"/>
      <c r="D113" s="62"/>
      <c r="E113" s="62"/>
      <c r="F113" s="62"/>
      <c r="G113" s="63"/>
    </row>
  </sheetData>
  <mergeCells count="26">
    <mergeCell ref="A111:G111"/>
    <mergeCell ref="A113:G113"/>
    <mergeCell ref="A87:G87"/>
    <mergeCell ref="A88:B88"/>
    <mergeCell ref="E88:F88"/>
    <mergeCell ref="E90:F90"/>
    <mergeCell ref="A67:G67"/>
    <mergeCell ref="A68:B68"/>
    <mergeCell ref="E68:F68"/>
    <mergeCell ref="E70:F70"/>
    <mergeCell ref="A49:G49"/>
    <mergeCell ref="A50:B50"/>
    <mergeCell ref="E50:F50"/>
    <mergeCell ref="E52:F52"/>
    <mergeCell ref="A34:G34"/>
    <mergeCell ref="A35:B35"/>
    <mergeCell ref="E35:F35"/>
    <mergeCell ref="E37:F37"/>
    <mergeCell ref="A20:G20"/>
    <mergeCell ref="E23:F23"/>
    <mergeCell ref="A21:B21"/>
    <mergeCell ref="E21:F21"/>
    <mergeCell ref="A1:G1"/>
    <mergeCell ref="A2:B2"/>
    <mergeCell ref="E2:F2"/>
    <mergeCell ref="E4:F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7109375" style="1" customWidth="1"/>
    <col min="2" max="2" width="23.28125" style="1" customWidth="1"/>
    <col min="3" max="3" width="48.57421875" style="1" customWidth="1"/>
    <col min="4" max="4" width="25.7109375" style="1" customWidth="1"/>
    <col min="5" max="5" width="1.7109375" style="1" customWidth="1"/>
    <col min="6" max="6" width="11.00390625" style="1" customWidth="1"/>
    <col min="7" max="7" width="13.00390625" style="1" customWidth="1"/>
    <col min="8" max="8" width="1.7109375" style="1" customWidth="1"/>
    <col min="9" max="16384" width="5.7109375" style="1" customWidth="1"/>
  </cols>
  <sheetData>
    <row r="1" spans="1:7" s="23" customFormat="1" ht="24" customHeight="1">
      <c r="A1" s="42" t="s">
        <v>143</v>
      </c>
      <c r="B1" s="43"/>
      <c r="C1" s="43"/>
      <c r="D1" s="43"/>
      <c r="E1" s="43"/>
      <c r="F1" s="43"/>
      <c r="G1" s="44"/>
    </row>
    <row r="2" spans="1:7" s="23" customFormat="1" ht="18" customHeight="1">
      <c r="A2" s="64" t="s">
        <v>3</v>
      </c>
      <c r="B2" s="64"/>
      <c r="C2" s="25" t="s">
        <v>94</v>
      </c>
      <c r="D2" s="26">
        <f>COMBIN(32,4)</f>
        <v>35960</v>
      </c>
      <c r="E2" s="47" t="s">
        <v>93</v>
      </c>
      <c r="F2" s="48"/>
      <c r="G2" s="27">
        <v>0.4025</v>
      </c>
    </row>
    <row r="3" spans="1:7" s="28" customFormat="1" ht="6" customHeight="1">
      <c r="A3" s="36"/>
      <c r="B3" s="36"/>
      <c r="C3" s="36"/>
      <c r="D3" s="36"/>
      <c r="E3" s="36"/>
      <c r="F3" s="36"/>
      <c r="G3" s="36"/>
    </row>
    <row r="4" spans="1:7" s="23" customFormat="1" ht="15.75" customHeight="1">
      <c r="A4" s="13" t="s">
        <v>29</v>
      </c>
      <c r="B4" s="14" t="s">
        <v>30</v>
      </c>
      <c r="C4" s="13" t="s">
        <v>0</v>
      </c>
      <c r="D4" s="13" t="s">
        <v>2</v>
      </c>
      <c r="E4" s="65" t="s">
        <v>1</v>
      </c>
      <c r="F4" s="65"/>
      <c r="G4" s="13" t="s">
        <v>28</v>
      </c>
    </row>
    <row r="5" spans="1:7" s="28" customFormat="1" ht="3" customHeight="1">
      <c r="A5" s="37"/>
      <c r="B5" s="38"/>
      <c r="C5" s="38"/>
      <c r="D5" s="38"/>
      <c r="E5" s="38"/>
      <c r="F5" s="38"/>
      <c r="G5" s="37"/>
    </row>
    <row r="6" spans="1:7" s="23" customFormat="1" ht="15.75" customHeight="1">
      <c r="A6" s="18">
        <f>POWER(F6,G2)</f>
        <v>29.527297696738025</v>
      </c>
      <c r="B6" s="2" t="s">
        <v>46</v>
      </c>
      <c r="C6" s="7" t="s">
        <v>95</v>
      </c>
      <c r="D6" s="6">
        <f>8*(COMBIN(4,4))</f>
        <v>8</v>
      </c>
      <c r="E6" s="3" t="s">
        <v>4</v>
      </c>
      <c r="F6" s="4">
        <f>D2/D6</f>
        <v>4495</v>
      </c>
      <c r="G6" s="21">
        <f aca="true" t="shared" si="0" ref="G6:G18">1/F6</f>
        <v>0.0002224694104560623</v>
      </c>
    </row>
    <row r="7" spans="1:7" s="23" customFormat="1" ht="15.75" customHeight="1">
      <c r="A7" s="18">
        <f>POWER(F7,G2)</f>
        <v>20.419864183227133</v>
      </c>
      <c r="B7" s="12" t="s">
        <v>128</v>
      </c>
      <c r="C7" s="7" t="s">
        <v>96</v>
      </c>
      <c r="D7" s="6">
        <f>5*4</f>
        <v>20</v>
      </c>
      <c r="E7" s="3" t="s">
        <v>4</v>
      </c>
      <c r="F7" s="4">
        <f>D2/D7</f>
        <v>1798</v>
      </c>
      <c r="G7" s="21">
        <f t="shared" si="0"/>
        <v>0.0005561735261401557</v>
      </c>
    </row>
    <row r="8" spans="1:7" s="23" customFormat="1" ht="15.75" customHeight="1">
      <c r="A8" s="18">
        <f>POWER(F8,G2)</f>
        <v>9.927661731834542</v>
      </c>
      <c r="B8" s="12" t="s">
        <v>129</v>
      </c>
      <c r="C8" s="7" t="s">
        <v>130</v>
      </c>
      <c r="D8" s="6">
        <f>24*5</f>
        <v>120</v>
      </c>
      <c r="E8" s="3" t="s">
        <v>4</v>
      </c>
      <c r="F8" s="4">
        <f>D2/D8</f>
        <v>299.6666666666667</v>
      </c>
      <c r="G8" s="21">
        <f t="shared" si="0"/>
        <v>0.003337041156840934</v>
      </c>
    </row>
    <row r="9" spans="1:7" s="23" customFormat="1" ht="15.75" customHeight="1">
      <c r="A9" s="18">
        <f>POWER(F9,G2)</f>
        <v>8.670226369315335</v>
      </c>
      <c r="B9" s="24" t="s">
        <v>131</v>
      </c>
      <c r="C9" s="7" t="s">
        <v>132</v>
      </c>
      <c r="D9" s="6">
        <f>(8*(COMBIN(4,2))*7*(COMBIN(2,2))/2)</f>
        <v>168</v>
      </c>
      <c r="E9" s="3" t="s">
        <v>4</v>
      </c>
      <c r="F9" s="4">
        <f>D2/D9</f>
        <v>214.04761904761904</v>
      </c>
      <c r="G9" s="21">
        <f t="shared" si="0"/>
        <v>0.0046718576195773085</v>
      </c>
    </row>
    <row r="10" spans="1:7" s="23" customFormat="1" ht="15.75" customHeight="1">
      <c r="A10" s="18">
        <f>POWER(F10,G2)</f>
        <v>7.722227554800807</v>
      </c>
      <c r="B10" s="12" t="s">
        <v>133</v>
      </c>
      <c r="C10" s="7" t="s">
        <v>134</v>
      </c>
      <c r="D10" s="6">
        <f>8*(COMBIN(4,3))*7</f>
        <v>224</v>
      </c>
      <c r="E10" s="3" t="s">
        <v>4</v>
      </c>
      <c r="F10" s="4">
        <f>D2/D10</f>
        <v>160.53571428571428</v>
      </c>
      <c r="G10" s="21">
        <f t="shared" si="0"/>
        <v>0.006229143492769745</v>
      </c>
    </row>
    <row r="11" spans="1:7" s="23" customFormat="1" ht="15.75" customHeight="1">
      <c r="A11" s="18">
        <f>POWER(F11,G2)</f>
        <v>7.272615879372552</v>
      </c>
      <c r="B11" s="12" t="s">
        <v>135</v>
      </c>
      <c r="C11" s="7" t="s">
        <v>117</v>
      </c>
      <c r="D11" s="6">
        <f>(COMBIN(8,4))*4-(D7)</f>
        <v>260</v>
      </c>
      <c r="E11" s="3" t="s">
        <v>4</v>
      </c>
      <c r="F11" s="4">
        <f>D2/D11</f>
        <v>138.30769230769232</v>
      </c>
      <c r="G11" s="21">
        <f t="shared" si="0"/>
        <v>0.007230255839822024</v>
      </c>
    </row>
    <row r="12" spans="1:7" s="23" customFormat="1" ht="15.75" customHeight="1">
      <c r="A12" s="18">
        <f>POWER(F12,G2)</f>
        <v>4.962508801407538</v>
      </c>
      <c r="B12" s="2" t="s">
        <v>19</v>
      </c>
      <c r="C12" s="7" t="s">
        <v>154</v>
      </c>
      <c r="D12" s="6">
        <f>8*(COMBIN(4,3))*28-(D10)</f>
        <v>672</v>
      </c>
      <c r="E12" s="3" t="s">
        <v>4</v>
      </c>
      <c r="F12" s="10">
        <f>D2/D12</f>
        <v>53.51190476190476</v>
      </c>
      <c r="G12" s="21">
        <f t="shared" si="0"/>
        <v>0.018687430478309234</v>
      </c>
    </row>
    <row r="13" spans="1:7" s="23" customFormat="1" ht="15.75" customHeight="1">
      <c r="A13" s="18">
        <f>POWER(F13,G2)</f>
        <v>4.536229408402183</v>
      </c>
      <c r="B13" s="2" t="s">
        <v>6</v>
      </c>
      <c r="C13" s="7" t="s">
        <v>153</v>
      </c>
      <c r="D13" s="6">
        <f>(8*(COMBIN(4,2))*7*(COMBIN(4,2))/2)-(D9)</f>
        <v>840</v>
      </c>
      <c r="E13" s="3" t="s">
        <v>4</v>
      </c>
      <c r="F13" s="10">
        <f>D2/D13</f>
        <v>42.80952380952381</v>
      </c>
      <c r="G13" s="21">
        <f t="shared" si="0"/>
        <v>0.02335928809788654</v>
      </c>
    </row>
    <row r="14" spans="1:7" s="23" customFormat="1" ht="15.75" customHeight="1">
      <c r="A14" s="18">
        <f>POWER(F14,G2)</f>
        <v>4.011559330665056</v>
      </c>
      <c r="B14" s="12" t="s">
        <v>136</v>
      </c>
      <c r="C14" s="7" t="s">
        <v>137</v>
      </c>
      <c r="D14" s="6">
        <f>(POWER(4,4))*5-(D7)-(D8)</f>
        <v>1140</v>
      </c>
      <c r="E14" s="3" t="s">
        <v>4</v>
      </c>
      <c r="F14" s="10">
        <f>D2/D14</f>
        <v>31.54385964912281</v>
      </c>
      <c r="G14" s="21">
        <f t="shared" si="0"/>
        <v>0.03170189098998887</v>
      </c>
    </row>
    <row r="15" spans="1:7" s="23" customFormat="1" ht="15.75" customHeight="1">
      <c r="A15" s="18">
        <f>POWER(F15,G2)</f>
        <v>3.5357762278989187</v>
      </c>
      <c r="B15" s="12" t="s">
        <v>138</v>
      </c>
      <c r="C15" s="7" t="s">
        <v>139</v>
      </c>
      <c r="D15" s="6">
        <f>32*21*12*5/4/3/2-(D8)</f>
        <v>1560</v>
      </c>
      <c r="E15" s="3" t="s">
        <v>4</v>
      </c>
      <c r="F15" s="10">
        <f>D2/D15</f>
        <v>23.05128205128205</v>
      </c>
      <c r="G15" s="21">
        <f t="shared" si="0"/>
        <v>0.04338153503893215</v>
      </c>
    </row>
    <row r="16" spans="1:7" s="23" customFormat="1" ht="15.75" customHeight="1">
      <c r="A16" s="18">
        <f>POWER(F16,G2)</f>
        <v>3.1890401350239057</v>
      </c>
      <c r="B16" s="24" t="s">
        <v>140</v>
      </c>
      <c r="C16" s="7" t="s">
        <v>141</v>
      </c>
      <c r="D16" s="6">
        <f>8*(COMBIN(4,2))*(14*6/2)</f>
        <v>2016</v>
      </c>
      <c r="E16" s="3" t="s">
        <v>4</v>
      </c>
      <c r="F16" s="10">
        <f>D2/D16</f>
        <v>17.83730158730159</v>
      </c>
      <c r="G16" s="21">
        <f t="shared" si="0"/>
        <v>0.05606229143492769</v>
      </c>
    </row>
    <row r="17" spans="1:7" s="23" customFormat="1" ht="15.75" customHeight="1">
      <c r="A17" s="18">
        <f>POWER(F17,G2)</f>
        <v>1.4571626265913356</v>
      </c>
      <c r="B17" s="2" t="s">
        <v>7</v>
      </c>
      <c r="C17" s="7" t="s">
        <v>152</v>
      </c>
      <c r="D17" s="6">
        <f>8*(COMBIN(4,2))*(28*24/2)-(D16)</f>
        <v>14112</v>
      </c>
      <c r="E17" s="3" t="s">
        <v>4</v>
      </c>
      <c r="F17" s="5">
        <f>D2/D17</f>
        <v>2.548185941043084</v>
      </c>
      <c r="G17" s="21">
        <f t="shared" si="0"/>
        <v>0.39243604004449384</v>
      </c>
    </row>
    <row r="18" spans="1:7" s="23" customFormat="1" ht="15.75" customHeight="1">
      <c r="A18" s="18">
        <f>POWER(F18,G2)</f>
        <v>1.4287328175866982</v>
      </c>
      <c r="B18" s="2" t="s">
        <v>127</v>
      </c>
      <c r="C18" s="7" t="s">
        <v>142</v>
      </c>
      <c r="D18" s="6">
        <f>32*28*24*20/4/3/2-(D7)-(D8)-(D11)-(D14)-(D15)</f>
        <v>14820</v>
      </c>
      <c r="E18" s="3" t="s">
        <v>4</v>
      </c>
      <c r="F18" s="5">
        <f>D2/D18</f>
        <v>2.426450742240216</v>
      </c>
      <c r="G18" s="21">
        <f t="shared" si="0"/>
        <v>0.41212458286985537</v>
      </c>
    </row>
    <row r="19" spans="4:7" s="29" customFormat="1" ht="18" customHeight="1">
      <c r="D19" s="30">
        <f>SUM(D6:D18)</f>
        <v>35960</v>
      </c>
      <c r="E19" s="31"/>
      <c r="F19" s="31"/>
      <c r="G19" s="35">
        <f>SUM(G6:G18)</f>
        <v>1</v>
      </c>
    </row>
    <row r="20" spans="1:7" ht="24" customHeight="1">
      <c r="A20" s="58" t="s">
        <v>80</v>
      </c>
      <c r="B20" s="59"/>
      <c r="C20" s="59"/>
      <c r="D20" s="59"/>
      <c r="E20" s="59"/>
      <c r="F20" s="59"/>
      <c r="G20" s="60"/>
    </row>
    <row r="21" spans="1:7" ht="18" customHeight="1">
      <c r="A21" s="66" t="s">
        <v>3</v>
      </c>
      <c r="B21" s="66"/>
      <c r="C21" s="16" t="s">
        <v>94</v>
      </c>
      <c r="D21" s="17">
        <f>COMBIN(32,4)</f>
        <v>35960</v>
      </c>
      <c r="E21" s="56" t="s">
        <v>93</v>
      </c>
      <c r="F21" s="57"/>
      <c r="G21" s="19">
        <v>0.4025</v>
      </c>
    </row>
    <row r="22" spans="1:9" ht="6" customHeight="1">
      <c r="A22" s="36"/>
      <c r="B22" s="36"/>
      <c r="C22" s="36"/>
      <c r="D22" s="36"/>
      <c r="E22" s="36"/>
      <c r="F22" s="36"/>
      <c r="G22" s="36"/>
      <c r="H22" s="36"/>
      <c r="I22" s="36"/>
    </row>
    <row r="23" spans="1:7" ht="15.75" customHeight="1">
      <c r="A23" s="13" t="s">
        <v>29</v>
      </c>
      <c r="B23" s="14" t="s">
        <v>30</v>
      </c>
      <c r="C23" s="13" t="s">
        <v>0</v>
      </c>
      <c r="D23" s="13" t="s">
        <v>2</v>
      </c>
      <c r="E23" s="65" t="s">
        <v>1</v>
      </c>
      <c r="F23" s="65"/>
      <c r="G23" s="13" t="s">
        <v>28</v>
      </c>
    </row>
    <row r="24" spans="1:9" ht="3" customHeight="1">
      <c r="A24" s="37"/>
      <c r="B24" s="38"/>
      <c r="C24" s="38"/>
      <c r="D24" s="38"/>
      <c r="E24" s="38"/>
      <c r="F24" s="38"/>
      <c r="G24" s="37"/>
      <c r="H24" s="36"/>
      <c r="I24" s="36"/>
    </row>
    <row r="25" spans="1:7" ht="15.75" customHeight="1">
      <c r="A25" s="18">
        <f>POWER(F25,G21)</f>
        <v>29.527297696738025</v>
      </c>
      <c r="B25" s="12" t="s">
        <v>46</v>
      </c>
      <c r="C25" s="7" t="s">
        <v>95</v>
      </c>
      <c r="D25" s="6">
        <f>8*(COMBIN(4,4))</f>
        <v>8</v>
      </c>
      <c r="E25" s="3" t="s">
        <v>4</v>
      </c>
      <c r="F25" s="4">
        <f>D21/D25</f>
        <v>4495</v>
      </c>
      <c r="G25" s="21">
        <f aca="true" t="shared" si="1" ref="G25:G32">1/F25</f>
        <v>0.0002224694104560623</v>
      </c>
    </row>
    <row r="26" spans="1:7" s="29" customFormat="1" ht="15.75" customHeight="1">
      <c r="A26" s="18">
        <f>POWER(F26,G21)</f>
        <v>20.419864183227133</v>
      </c>
      <c r="B26" s="12" t="s">
        <v>128</v>
      </c>
      <c r="C26" s="7" t="s">
        <v>96</v>
      </c>
      <c r="D26" s="6">
        <f>5*4</f>
        <v>20</v>
      </c>
      <c r="E26" s="3" t="s">
        <v>4</v>
      </c>
      <c r="F26" s="4">
        <f>D21/D26</f>
        <v>1798</v>
      </c>
      <c r="G26" s="21">
        <f t="shared" si="1"/>
        <v>0.0005561735261401557</v>
      </c>
    </row>
    <row r="27" spans="1:7" s="29" customFormat="1" ht="15.75" customHeight="1">
      <c r="A27" s="18">
        <f>POWER(F27,G21)</f>
        <v>7.272615879372552</v>
      </c>
      <c r="B27" s="12" t="s">
        <v>135</v>
      </c>
      <c r="C27" s="7" t="s">
        <v>117</v>
      </c>
      <c r="D27" s="6">
        <f>(COMBIN(8,4))*4-(D26)</f>
        <v>260</v>
      </c>
      <c r="E27" s="3" t="s">
        <v>4</v>
      </c>
      <c r="F27" s="4">
        <f>D21/D27</f>
        <v>138.30769230769232</v>
      </c>
      <c r="G27" s="21">
        <f t="shared" si="1"/>
        <v>0.007230255839822024</v>
      </c>
    </row>
    <row r="28" spans="1:7" s="29" customFormat="1" ht="15.75" customHeight="1">
      <c r="A28" s="18">
        <f>POWER(F28,G21)</f>
        <v>4.419910227810692</v>
      </c>
      <c r="B28" s="2" t="s">
        <v>19</v>
      </c>
      <c r="C28" s="7" t="s">
        <v>97</v>
      </c>
      <c r="D28" s="6">
        <f>8*(COMBIN(4,3))*28</f>
        <v>896</v>
      </c>
      <c r="E28" s="3" t="s">
        <v>4</v>
      </c>
      <c r="F28" s="9">
        <f>D21/D28</f>
        <v>40.13392857142857</v>
      </c>
      <c r="G28" s="21">
        <f t="shared" si="1"/>
        <v>0.02491657397107898</v>
      </c>
    </row>
    <row r="29" spans="1:7" s="29" customFormat="1" ht="15.75" customHeight="1">
      <c r="A29" s="18">
        <f>POWER(F29,G21)</f>
        <v>4.215261852901871</v>
      </c>
      <c r="B29" s="2" t="s">
        <v>6</v>
      </c>
      <c r="C29" s="7" t="s">
        <v>98</v>
      </c>
      <c r="D29" s="6">
        <f>(8*(COMBIN(4,2))*7*(COMBIN(4,2))/2)</f>
        <v>1008</v>
      </c>
      <c r="E29" s="3" t="s">
        <v>4</v>
      </c>
      <c r="F29" s="9">
        <f>D21/D29</f>
        <v>35.67460317460318</v>
      </c>
      <c r="G29" s="21">
        <f t="shared" si="1"/>
        <v>0.028031145717463846</v>
      </c>
    </row>
    <row r="30" spans="1:7" s="29" customFormat="1" ht="15.75" customHeight="1">
      <c r="A30" s="18">
        <f>POWER(F30,G21)</f>
        <v>3.8531709557524327</v>
      </c>
      <c r="B30" s="12" t="s">
        <v>136</v>
      </c>
      <c r="C30" s="7" t="s">
        <v>118</v>
      </c>
      <c r="D30" s="6">
        <f>(POWER(4,4))*5-(D26)</f>
        <v>1260</v>
      </c>
      <c r="E30" s="3" t="s">
        <v>4</v>
      </c>
      <c r="F30" s="10">
        <f>D21/D30</f>
        <v>28.53968253968254</v>
      </c>
      <c r="G30" s="21">
        <f t="shared" si="1"/>
        <v>0.03503893214682981</v>
      </c>
    </row>
    <row r="31" spans="1:7" s="29" customFormat="1" ht="15.75" customHeight="1">
      <c r="A31" s="18">
        <f>POWER(F31,G21)</f>
        <v>1.3809128318945985</v>
      </c>
      <c r="B31" s="2" t="s">
        <v>7</v>
      </c>
      <c r="C31" s="7" t="s">
        <v>99</v>
      </c>
      <c r="D31" s="6">
        <f>8*(COMBIN(4,2))*(28*24/2)</f>
        <v>16128</v>
      </c>
      <c r="E31" s="3" t="s">
        <v>4</v>
      </c>
      <c r="F31" s="5">
        <f>D21/D31</f>
        <v>2.2296626984126986</v>
      </c>
      <c r="G31" s="22">
        <f t="shared" si="1"/>
        <v>0.44849833147942153</v>
      </c>
    </row>
    <row r="32" spans="1:7" s="29" customFormat="1" ht="15.75" customHeight="1">
      <c r="A32" s="18">
        <f>POWER(F32,G21)</f>
        <v>1.372322167635181</v>
      </c>
      <c r="B32" s="2" t="s">
        <v>127</v>
      </c>
      <c r="C32" s="7" t="s">
        <v>119</v>
      </c>
      <c r="D32" s="6">
        <f>32*28*24*20/4/3/2-D26-D27-D30</f>
        <v>16380</v>
      </c>
      <c r="E32" s="3" t="s">
        <v>4</v>
      </c>
      <c r="F32" s="5">
        <f>D21/D32</f>
        <v>2.1953601953601956</v>
      </c>
      <c r="G32" s="22">
        <f t="shared" si="1"/>
        <v>0.4555061179087875</v>
      </c>
    </row>
    <row r="33" spans="4:7" s="29" customFormat="1" ht="18" customHeight="1">
      <c r="D33" s="30">
        <f>SUM(D25:D32)</f>
        <v>35960</v>
      </c>
      <c r="E33" s="31"/>
      <c r="F33" s="31"/>
      <c r="G33" s="35">
        <f>SUM(G25:G32)</f>
        <v>0.9999999999999999</v>
      </c>
    </row>
    <row r="34" spans="1:7" ht="24" customHeight="1">
      <c r="A34" s="58" t="s">
        <v>81</v>
      </c>
      <c r="B34" s="59"/>
      <c r="C34" s="59"/>
      <c r="D34" s="59"/>
      <c r="E34" s="59"/>
      <c r="F34" s="59"/>
      <c r="G34" s="60"/>
    </row>
    <row r="35" spans="1:7" ht="18" customHeight="1">
      <c r="A35" s="66" t="s">
        <v>3</v>
      </c>
      <c r="B35" s="66"/>
      <c r="C35" s="16" t="s">
        <v>100</v>
      </c>
      <c r="D35" s="17">
        <f>COMBIN(32,5)</f>
        <v>201375.99999999997</v>
      </c>
      <c r="E35" s="56" t="s">
        <v>93</v>
      </c>
      <c r="F35" s="57"/>
      <c r="G35" s="19">
        <v>0.36</v>
      </c>
    </row>
    <row r="36" spans="1:9" ht="6" customHeight="1">
      <c r="A36" s="36"/>
      <c r="B36" s="36"/>
      <c r="C36" s="36"/>
      <c r="D36" s="36"/>
      <c r="E36" s="36"/>
      <c r="F36" s="36"/>
      <c r="G36" s="36"/>
      <c r="H36" s="36"/>
      <c r="I36" s="36"/>
    </row>
    <row r="37" spans="1:7" ht="15.75" customHeight="1">
      <c r="A37" s="13" t="s">
        <v>29</v>
      </c>
      <c r="B37" s="14" t="s">
        <v>30</v>
      </c>
      <c r="C37" s="13" t="s">
        <v>0</v>
      </c>
      <c r="D37" s="13" t="s">
        <v>2</v>
      </c>
      <c r="E37" s="65" t="s">
        <v>1</v>
      </c>
      <c r="F37" s="65"/>
      <c r="G37" s="13" t="s">
        <v>28</v>
      </c>
    </row>
    <row r="38" spans="1:9" ht="3" customHeight="1">
      <c r="A38" s="37"/>
      <c r="B38" s="38"/>
      <c r="C38" s="38"/>
      <c r="D38" s="38"/>
      <c r="E38" s="38"/>
      <c r="F38" s="38"/>
      <c r="G38" s="37"/>
      <c r="H38" s="36"/>
      <c r="I38" s="36"/>
    </row>
    <row r="39" spans="1:7" ht="15.75" customHeight="1">
      <c r="A39" s="18">
        <f>POWER(F39,G35)</f>
        <v>29.919861709032382</v>
      </c>
      <c r="B39" s="12" t="s">
        <v>128</v>
      </c>
      <c r="C39" s="7" t="s">
        <v>101</v>
      </c>
      <c r="D39" s="6">
        <f>4*4</f>
        <v>16</v>
      </c>
      <c r="E39" s="3" t="s">
        <v>4</v>
      </c>
      <c r="F39" s="4">
        <f>D35/D39</f>
        <v>12585.999999999998</v>
      </c>
      <c r="G39" s="21">
        <f aca="true" t="shared" si="2" ref="G39:G47">1/F39</f>
        <v>7.945336087716512E-05</v>
      </c>
    </row>
    <row r="40" spans="1:7" ht="15.75" customHeight="1">
      <c r="A40" s="18">
        <f>POWER(F40,G35)</f>
        <v>11.883379728249855</v>
      </c>
      <c r="B40" s="12" t="s">
        <v>135</v>
      </c>
      <c r="C40" s="7" t="s">
        <v>120</v>
      </c>
      <c r="D40" s="6">
        <f>(COMBIN(8,5))*4-(D39)</f>
        <v>208</v>
      </c>
      <c r="E40" s="3" t="s">
        <v>4</v>
      </c>
      <c r="F40" s="4">
        <f>D35/D40</f>
        <v>968.153846153846</v>
      </c>
      <c r="G40" s="21">
        <f t="shared" si="2"/>
        <v>0.0010328936914031465</v>
      </c>
    </row>
    <row r="41" spans="1:7" ht="15.75" customHeight="1">
      <c r="A41" s="18">
        <f>POWER(F41,G35)</f>
        <v>11.570536295861451</v>
      </c>
      <c r="B41" s="2" t="s">
        <v>46</v>
      </c>
      <c r="C41" s="7" t="s">
        <v>102</v>
      </c>
      <c r="D41" s="6">
        <f>8*(COMBIN(4,4))*28</f>
        <v>224</v>
      </c>
      <c r="E41" s="3" t="s">
        <v>4</v>
      </c>
      <c r="F41" s="4">
        <f>D35/D41</f>
        <v>898.9999999999999</v>
      </c>
      <c r="G41" s="21">
        <f t="shared" si="2"/>
        <v>0.0011123470522803117</v>
      </c>
    </row>
    <row r="42" spans="1:7" ht="15.75" customHeight="1">
      <c r="A42" s="18">
        <f>POWER(F42,G35)</f>
        <v>6.070424176807028</v>
      </c>
      <c r="B42" s="2" t="s">
        <v>87</v>
      </c>
      <c r="C42" s="7" t="s">
        <v>103</v>
      </c>
      <c r="D42" s="6">
        <f>8*(COMBIN(4,3))*7*(COMBIN(4,2))</f>
        <v>1344</v>
      </c>
      <c r="E42" s="3" t="s">
        <v>4</v>
      </c>
      <c r="F42" s="4">
        <f>D35/D42</f>
        <v>149.83333333333331</v>
      </c>
      <c r="G42" s="21">
        <f t="shared" si="2"/>
        <v>0.00667408231368187</v>
      </c>
    </row>
    <row r="43" spans="1:7" ht="15.75" customHeight="1">
      <c r="A43" s="18">
        <f>POWER(F43,G35)</f>
        <v>4.070100348551199</v>
      </c>
      <c r="B43" s="12" t="s">
        <v>136</v>
      </c>
      <c r="C43" s="7" t="s">
        <v>121</v>
      </c>
      <c r="D43" s="6">
        <f>(POWER(4,5))*4-(D39)</f>
        <v>4080</v>
      </c>
      <c r="E43" s="3" t="s">
        <v>4</v>
      </c>
      <c r="F43" s="10">
        <f>D35/D43</f>
        <v>49.356862745098034</v>
      </c>
      <c r="G43" s="21">
        <f t="shared" si="2"/>
        <v>0.020260607023677102</v>
      </c>
    </row>
    <row r="44" spans="1:7" ht="15.75" customHeight="1">
      <c r="A44" s="18">
        <f>POWER(F44,G35)</f>
        <v>2.8714856056681097</v>
      </c>
      <c r="B44" s="2" t="s">
        <v>19</v>
      </c>
      <c r="C44" s="7" t="s">
        <v>104</v>
      </c>
      <c r="D44" s="6">
        <f>8*(COMBIN(4,3))*(28*24/2)</f>
        <v>10752</v>
      </c>
      <c r="E44" s="3" t="s">
        <v>4</v>
      </c>
      <c r="F44" s="9">
        <f>D35/D44</f>
        <v>18.729166666666664</v>
      </c>
      <c r="G44" s="21">
        <f t="shared" si="2"/>
        <v>0.05339265850945496</v>
      </c>
    </row>
    <row r="45" spans="1:7" ht="15.75" customHeight="1">
      <c r="A45" s="18">
        <f>POWER(F45,G35)</f>
        <v>2.144474750098536</v>
      </c>
      <c r="B45" s="2" t="s">
        <v>6</v>
      </c>
      <c r="C45" s="7" t="s">
        <v>105</v>
      </c>
      <c r="D45" s="6">
        <f>(8*(COMBIN(4,2))*7*(COMBIN(4,2))/2)*24</f>
        <v>24192</v>
      </c>
      <c r="E45" s="3" t="s">
        <v>4</v>
      </c>
      <c r="F45" s="20">
        <f>D35/D45</f>
        <v>8.324074074074073</v>
      </c>
      <c r="G45" s="22">
        <f t="shared" si="2"/>
        <v>0.12013348164627366</v>
      </c>
    </row>
    <row r="46" spans="1:7" ht="15.75" customHeight="1">
      <c r="A46" s="18">
        <f>POWER(F46,G35)</f>
        <v>1.6165364814943253</v>
      </c>
      <c r="B46" s="2" t="s">
        <v>127</v>
      </c>
      <c r="C46" s="7" t="s">
        <v>122</v>
      </c>
      <c r="D46" s="6">
        <f>32*28*24*20*16/5/4/3/2-D39-D40-D43</f>
        <v>53040</v>
      </c>
      <c r="E46" s="3" t="s">
        <v>4</v>
      </c>
      <c r="F46" s="5">
        <f>D35/D46</f>
        <v>3.7966817496229255</v>
      </c>
      <c r="G46" s="22">
        <f t="shared" si="2"/>
        <v>0.2633878913078024</v>
      </c>
    </row>
    <row r="47" spans="1:7" ht="15.75" customHeight="1">
      <c r="A47" s="18">
        <f>POWER(F47,G35)</f>
        <v>1.253448928923872</v>
      </c>
      <c r="B47" s="2" t="s">
        <v>7</v>
      </c>
      <c r="C47" s="7" t="s">
        <v>106</v>
      </c>
      <c r="D47" s="6">
        <f>8*(COMBIN(4,2))*(28*24*20/3/2)</f>
        <v>107520</v>
      </c>
      <c r="E47" s="3" t="s">
        <v>4</v>
      </c>
      <c r="F47" s="5">
        <f>D35/D47</f>
        <v>1.8729166666666663</v>
      </c>
      <c r="G47" s="22">
        <f t="shared" si="2"/>
        <v>0.5339265850945496</v>
      </c>
    </row>
    <row r="48" spans="1:7" s="15" customFormat="1" ht="18" customHeight="1">
      <c r="A48" s="33"/>
      <c r="B48" s="33"/>
      <c r="C48" s="33"/>
      <c r="D48" s="30">
        <f>SUM(D39:D47)</f>
        <v>201376</v>
      </c>
      <c r="E48" s="34"/>
      <c r="F48" s="34"/>
      <c r="G48" s="35">
        <f>SUM(G39:G47)</f>
        <v>1.0000000000000002</v>
      </c>
    </row>
    <row r="49" spans="1:7" ht="24" customHeight="1">
      <c r="A49" s="58" t="s">
        <v>82</v>
      </c>
      <c r="B49" s="59"/>
      <c r="C49" s="59"/>
      <c r="D49" s="59"/>
      <c r="E49" s="59"/>
      <c r="F49" s="59"/>
      <c r="G49" s="60"/>
    </row>
    <row r="50" spans="1:7" ht="18" customHeight="1">
      <c r="A50" s="66" t="s">
        <v>3</v>
      </c>
      <c r="B50" s="66"/>
      <c r="C50" s="16" t="s">
        <v>107</v>
      </c>
      <c r="D50" s="17">
        <f>COMBIN(32,6)</f>
        <v>906192.0000000002</v>
      </c>
      <c r="E50" s="56" t="s">
        <v>93</v>
      </c>
      <c r="F50" s="57"/>
      <c r="G50" s="19">
        <v>0.303</v>
      </c>
    </row>
    <row r="51" spans="1:9" ht="6" customHeight="1">
      <c r="A51" s="36"/>
      <c r="B51" s="36"/>
      <c r="C51" s="36"/>
      <c r="D51" s="36"/>
      <c r="E51" s="36"/>
      <c r="F51" s="36"/>
      <c r="G51" s="36"/>
      <c r="H51" s="36"/>
      <c r="I51" s="36"/>
    </row>
    <row r="52" spans="1:7" ht="15.75" customHeight="1">
      <c r="A52" s="13" t="s">
        <v>29</v>
      </c>
      <c r="B52" s="14" t="s">
        <v>30</v>
      </c>
      <c r="C52" s="13" t="s">
        <v>0</v>
      </c>
      <c r="D52" s="13" t="s">
        <v>2</v>
      </c>
      <c r="E52" s="65" t="s">
        <v>1</v>
      </c>
      <c r="F52" s="65"/>
      <c r="G52" s="13" t="s">
        <v>28</v>
      </c>
    </row>
    <row r="53" spans="1:9" ht="3" customHeight="1">
      <c r="A53" s="37"/>
      <c r="B53" s="38"/>
      <c r="C53" s="38"/>
      <c r="D53" s="38"/>
      <c r="E53" s="38"/>
      <c r="F53" s="38"/>
      <c r="G53" s="37"/>
      <c r="H53" s="36"/>
      <c r="I53" s="36"/>
    </row>
    <row r="54" spans="1:7" ht="15.75" customHeight="1">
      <c r="A54" s="18">
        <f>POWER(F54,G50)</f>
        <v>30.063934064408446</v>
      </c>
      <c r="B54" s="12" t="s">
        <v>128</v>
      </c>
      <c r="C54" s="7" t="s">
        <v>108</v>
      </c>
      <c r="D54" s="6">
        <f>3*4</f>
        <v>12</v>
      </c>
      <c r="E54" s="3" t="s">
        <v>4</v>
      </c>
      <c r="F54" s="4">
        <f>D50/D54</f>
        <v>75516.00000000001</v>
      </c>
      <c r="G54" s="21">
        <f aca="true" t="shared" si="3" ref="G54:G65">1/F54</f>
        <v>1.3242226812860848E-05</v>
      </c>
    </row>
    <row r="55" spans="1:7" ht="15.75" customHeight="1">
      <c r="A55" s="18">
        <f>POWER(F55,G50)</f>
        <v>15.813854106671839</v>
      </c>
      <c r="B55" s="12" t="s">
        <v>135</v>
      </c>
      <c r="C55" s="7" t="s">
        <v>123</v>
      </c>
      <c r="D55" s="6">
        <f>(COMBIN(8,6))*4-(D54)</f>
        <v>100</v>
      </c>
      <c r="E55" s="3" t="s">
        <v>4</v>
      </c>
      <c r="F55" s="4">
        <f>D50/D55</f>
        <v>9061.920000000002</v>
      </c>
      <c r="G55" s="21">
        <f t="shared" si="3"/>
        <v>0.00011035189010717373</v>
      </c>
    </row>
    <row r="56" spans="1:7" ht="15.75" customHeight="1">
      <c r="A56" s="18">
        <f>POWER(F56,G50)</f>
        <v>10.953601243864698</v>
      </c>
      <c r="B56" s="8" t="s">
        <v>88</v>
      </c>
      <c r="C56" s="7" t="s">
        <v>109</v>
      </c>
      <c r="D56" s="6">
        <f>8*(COMBIN(4,4))*7*(COMBIN(4,2))</f>
        <v>336</v>
      </c>
      <c r="E56" s="3" t="s">
        <v>4</v>
      </c>
      <c r="F56" s="4">
        <f>D50/D56</f>
        <v>2697.000000000001</v>
      </c>
      <c r="G56" s="21">
        <f t="shared" si="3"/>
        <v>0.0003707823507601037</v>
      </c>
    </row>
    <row r="57" spans="1:7" ht="15.75" customHeight="1">
      <c r="A57" s="18">
        <f>POWER(F57,G50)</f>
        <v>10.03923197635346</v>
      </c>
      <c r="B57" s="8" t="s">
        <v>14</v>
      </c>
      <c r="C57" s="7" t="s">
        <v>110</v>
      </c>
      <c r="D57" s="6">
        <f>8*(COMBIN(4,3))*7*(COMBIN(4,3))/2</f>
        <v>448</v>
      </c>
      <c r="E57" s="3" t="s">
        <v>4</v>
      </c>
      <c r="F57" s="4">
        <f>D50/D57</f>
        <v>2022.7500000000005</v>
      </c>
      <c r="G57" s="21">
        <f t="shared" si="3"/>
        <v>0.0004943764676801384</v>
      </c>
    </row>
    <row r="58" spans="1:7" ht="15.75" customHeight="1">
      <c r="A58" s="18">
        <f>POWER(F58,G50)</f>
        <v>5.833385270770318</v>
      </c>
      <c r="B58" s="8" t="s">
        <v>46</v>
      </c>
      <c r="C58" s="7" t="s">
        <v>111</v>
      </c>
      <c r="D58" s="6">
        <f>8*(COMBIN(4,4))*(28*24/2)</f>
        <v>2688</v>
      </c>
      <c r="E58" s="3" t="s">
        <v>4</v>
      </c>
      <c r="F58" s="4">
        <f>D50/D58</f>
        <v>337.1250000000001</v>
      </c>
      <c r="G58" s="21">
        <f t="shared" si="3"/>
        <v>0.0029662588060808295</v>
      </c>
    </row>
    <row r="59" spans="1:7" ht="15.75" customHeight="1">
      <c r="A59" s="18">
        <f>POWER(F59,G50)</f>
        <v>3.698258542112806</v>
      </c>
      <c r="B59" s="8" t="s">
        <v>17</v>
      </c>
      <c r="C59" s="7" t="s">
        <v>112</v>
      </c>
      <c r="D59" s="6">
        <f>8*(COMBIN(4,2))*7*(COMBIN(4,2))*6*(COMBIN(4,2))/3/2</f>
        <v>12096</v>
      </c>
      <c r="E59" s="3" t="s">
        <v>4</v>
      </c>
      <c r="F59" s="10">
        <f>D50/D59</f>
        <v>74.91666666666669</v>
      </c>
      <c r="G59" s="21">
        <f t="shared" si="3"/>
        <v>0.013348164627363735</v>
      </c>
    </row>
    <row r="60" spans="1:7" ht="15.75" customHeight="1">
      <c r="A60" s="18">
        <f>POWER(F60,G50)</f>
        <v>3.681743199029627</v>
      </c>
      <c r="B60" s="12" t="s">
        <v>136</v>
      </c>
      <c r="C60" s="7" t="s">
        <v>124</v>
      </c>
      <c r="D60" s="6">
        <f>(POWER(4,6))*3-(D54)</f>
        <v>12276</v>
      </c>
      <c r="E60" s="3" t="s">
        <v>4</v>
      </c>
      <c r="F60" s="10">
        <f>D50/D60</f>
        <v>73.81818181818184</v>
      </c>
      <c r="G60" s="21">
        <f t="shared" si="3"/>
        <v>0.013546798029556646</v>
      </c>
    </row>
    <row r="61" spans="1:7" ht="15.75" customHeight="1">
      <c r="A61" s="18">
        <f>POWER(F61,G50)</f>
        <v>2.7474433295530503</v>
      </c>
      <c r="B61" s="8" t="s">
        <v>87</v>
      </c>
      <c r="C61" s="7" t="s">
        <v>113</v>
      </c>
      <c r="D61" s="6">
        <f>8*(COMBIN(4,3))*7*(COMBIN(4,2))*24</f>
        <v>32256</v>
      </c>
      <c r="E61" s="3" t="s">
        <v>4</v>
      </c>
      <c r="F61" s="10">
        <f>D50/D61</f>
        <v>28.093750000000007</v>
      </c>
      <c r="G61" s="21">
        <f t="shared" si="3"/>
        <v>0.03559510567296996</v>
      </c>
    </row>
    <row r="62" spans="1:7" ht="15.75" customHeight="1">
      <c r="A62" s="18">
        <f>POWER(F62,G50)</f>
        <v>2.157009882394884</v>
      </c>
      <c r="B62" s="2" t="s">
        <v>19</v>
      </c>
      <c r="C62" s="7" t="s">
        <v>114</v>
      </c>
      <c r="D62" s="6">
        <f>8*(COMBIN(4,3))*(28*24*20/3/2)</f>
        <v>71680</v>
      </c>
      <c r="E62" s="3" t="s">
        <v>4</v>
      </c>
      <c r="F62" s="10">
        <f>D50/D62</f>
        <v>12.642187500000004</v>
      </c>
      <c r="G62" s="21">
        <f t="shared" si="3"/>
        <v>0.07910023482882213</v>
      </c>
    </row>
    <row r="63" spans="1:7" ht="15.75" customHeight="1">
      <c r="A63" s="18">
        <f>POWER(F63,G50)</f>
        <v>1.9366244511763089</v>
      </c>
      <c r="B63" s="2" t="s">
        <v>127</v>
      </c>
      <c r="C63" s="7" t="s">
        <v>125</v>
      </c>
      <c r="D63" s="6">
        <f>32*28*24*20*16*12/6/5/4/3/2-(D54)-(D55)-(D60)</f>
        <v>102300</v>
      </c>
      <c r="E63" s="3" t="s">
        <v>4</v>
      </c>
      <c r="F63" s="5">
        <f>D50/D63</f>
        <v>8.858181818181821</v>
      </c>
      <c r="G63" s="22">
        <f t="shared" si="3"/>
        <v>0.11288998357963871</v>
      </c>
    </row>
    <row r="64" spans="1:7" ht="15.75" customHeight="1">
      <c r="A64" s="18">
        <f>POWER(F64,G50)</f>
        <v>1.4920561955832026</v>
      </c>
      <c r="B64" s="2" t="s">
        <v>6</v>
      </c>
      <c r="C64" s="7" t="s">
        <v>115</v>
      </c>
      <c r="D64" s="6">
        <f>(8*(COMBIN(4,2))*7*(COMBIN(4,2))/2)*(24*20/2)</f>
        <v>241920</v>
      </c>
      <c r="E64" s="3" t="s">
        <v>4</v>
      </c>
      <c r="F64" s="5">
        <f>D50/D64</f>
        <v>3.7458333333333345</v>
      </c>
      <c r="G64" s="22">
        <f t="shared" si="3"/>
        <v>0.2669632925472747</v>
      </c>
    </row>
    <row r="65" spans="1:7" ht="15.75" customHeight="1">
      <c r="A65" s="18">
        <f>POWER(F65,G50)</f>
        <v>1.253349828602996</v>
      </c>
      <c r="B65" s="2" t="s">
        <v>7</v>
      </c>
      <c r="C65" s="7" t="s">
        <v>116</v>
      </c>
      <c r="D65" s="6">
        <f>8*(COMBIN(4,2))*(28*24*20*16/4/3/2)</f>
        <v>430080</v>
      </c>
      <c r="E65" s="3" t="s">
        <v>4</v>
      </c>
      <c r="F65" s="5">
        <f>D50/D65</f>
        <v>2.1070312500000004</v>
      </c>
      <c r="G65" s="22">
        <f t="shared" si="3"/>
        <v>0.4746014089729328</v>
      </c>
    </row>
    <row r="66" spans="1:7" s="23" customFormat="1" ht="18" customHeight="1">
      <c r="A66" s="29"/>
      <c r="B66" s="29"/>
      <c r="C66" s="29"/>
      <c r="D66" s="30">
        <f>SUM(D54:D65)</f>
        <v>906192</v>
      </c>
      <c r="E66" s="31"/>
      <c r="F66" s="31"/>
      <c r="G66" s="35">
        <f>SUM(G54:G65)</f>
        <v>0.9999999999999998</v>
      </c>
    </row>
    <row r="67" spans="1:7" s="23" customFormat="1" ht="15.75" customHeight="1">
      <c r="A67" s="61" t="s">
        <v>151</v>
      </c>
      <c r="B67" s="62"/>
      <c r="C67" s="62"/>
      <c r="D67" s="62"/>
      <c r="E67" s="62"/>
      <c r="F67" s="62"/>
      <c r="G67" s="63"/>
    </row>
    <row r="68" spans="1:7" s="23" customFormat="1" ht="2.25" customHeight="1">
      <c r="A68" s="29"/>
      <c r="B68" s="29"/>
      <c r="C68" s="29"/>
      <c r="D68" s="30"/>
      <c r="E68" s="31"/>
      <c r="F68" s="31"/>
      <c r="G68" s="32"/>
    </row>
    <row r="69" spans="1:7" s="23" customFormat="1" ht="15.75" customHeight="1">
      <c r="A69" s="61" t="s">
        <v>126</v>
      </c>
      <c r="B69" s="62"/>
      <c r="C69" s="62"/>
      <c r="D69" s="62"/>
      <c r="E69" s="62"/>
      <c r="F69" s="62"/>
      <c r="G69" s="63"/>
    </row>
  </sheetData>
  <mergeCells count="18">
    <mergeCell ref="A50:B50"/>
    <mergeCell ref="E50:F50"/>
    <mergeCell ref="E52:F52"/>
    <mergeCell ref="A69:G69"/>
    <mergeCell ref="A67:G67"/>
    <mergeCell ref="A35:B35"/>
    <mergeCell ref="E35:F35"/>
    <mergeCell ref="E37:F37"/>
    <mergeCell ref="A49:G49"/>
    <mergeCell ref="A34:G34"/>
    <mergeCell ref="A1:G1"/>
    <mergeCell ref="A2:B2"/>
    <mergeCell ref="E2:F2"/>
    <mergeCell ref="E4:F4"/>
    <mergeCell ref="A20:G20"/>
    <mergeCell ref="E23:F23"/>
    <mergeCell ref="A21:B21"/>
    <mergeCell ref="E21:F2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Ziegler</dc:creator>
  <cp:keywords/>
  <dc:description/>
  <cp:lastModifiedBy>Oliver Ziegler</cp:lastModifiedBy>
  <cp:lastPrinted>2012-08-05T11:53:28Z</cp:lastPrinted>
  <dcterms:created xsi:type="dcterms:W3CDTF">2003-04-25T20:28:36Z</dcterms:created>
  <dcterms:modified xsi:type="dcterms:W3CDTF">2014-12-14T21:01:00Z</dcterms:modified>
  <cp:category/>
  <cp:version/>
  <cp:contentType/>
  <cp:contentStatus/>
</cp:coreProperties>
</file>